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2300" windowHeight="8940" activeTab="0"/>
  </bookViews>
  <sheets>
    <sheet name="Overview" sheetId="1" r:id="rId1"/>
    <sheet name="New Settings!" sheetId="2" r:id="rId2"/>
    <sheet name="Calibration" sheetId="3" r:id="rId3"/>
    <sheet name="Accuracy" sheetId="4" r:id="rId4"/>
    <sheet name="Plate Dissipation" sheetId="5" r:id="rId5"/>
  </sheets>
  <definedNames>
    <definedName name="_xlnm.Print_Area" localSheetId="1">'New Settings!'!$A$11:$P$70</definedName>
  </definedNames>
  <calcPr fullCalcOnLoad="1"/>
</workbook>
</file>

<file path=xl/comments2.xml><?xml version="1.0" encoding="utf-8"?>
<comments xmlns="http://schemas.openxmlformats.org/spreadsheetml/2006/main">
  <authors>
    <author>Conrad R. Hoffman</author>
  </authors>
  <commentList>
    <comment ref="L11" authorId="0">
      <text>
        <r>
          <rPr>
            <sz val="10"/>
            <rFont val="Tahoma"/>
            <family val="2"/>
          </rPr>
          <t xml:space="preserve">This is the continuous plate power dissipation which should not exceed the absolute maximum plate wattage in the datasheet, though </t>
        </r>
        <r>
          <rPr>
            <b/>
            <sz val="10"/>
            <rFont val="Tahoma"/>
            <family val="2"/>
          </rPr>
          <t xml:space="preserve">brief </t>
        </r>
        <r>
          <rPr>
            <sz val="10"/>
            <rFont val="Tahoma"/>
            <family val="2"/>
          </rPr>
          <t>excursions beyond the maximum usually do no harm.</t>
        </r>
      </text>
    </comment>
    <comment ref="N11" authorId="0">
      <text>
        <r>
          <rPr>
            <sz val="10"/>
            <rFont val="Tahoma"/>
            <family val="2"/>
          </rPr>
          <t>This is the instantaneous plate power dissipation, which may exceed the datasheet continuous power rating. It is informational only and may not be exact as it depends on tube operating characteristics.</t>
        </r>
      </text>
    </comment>
    <comment ref="H11" authorId="0">
      <text>
        <r>
          <rPr>
            <b/>
            <sz val="8"/>
            <rFont val="Tahoma"/>
            <family val="0"/>
          </rPr>
          <t>Sets meter sensitivity only, no effect on tube current.</t>
        </r>
      </text>
    </comment>
    <comment ref="G11" authorId="0">
      <text>
        <r>
          <rPr>
            <b/>
            <sz val="8"/>
            <rFont val="Tahoma"/>
            <family val="0"/>
          </rPr>
          <t>Sets voltage combinations for plate and screens.</t>
        </r>
      </text>
    </comment>
    <comment ref="D11" authorId="0">
      <text>
        <r>
          <rPr>
            <b/>
            <sz val="8"/>
            <rFont val="Tahoma"/>
            <family val="0"/>
          </rPr>
          <t>Sets meter sensitivity- has no effect on tube voltage or current.</t>
        </r>
      </text>
    </comment>
    <comment ref="C11" authorId="0">
      <text>
        <r>
          <rPr>
            <b/>
            <sz val="8"/>
            <rFont val="Tahoma"/>
            <family val="0"/>
          </rPr>
          <t>Sets grid voltage and controls tube current.</t>
        </r>
      </text>
    </comment>
  </commentList>
</comments>
</file>

<file path=xl/comments4.xml><?xml version="1.0" encoding="utf-8"?>
<comments xmlns="http://schemas.openxmlformats.org/spreadsheetml/2006/main">
  <authors>
    <author>Conrad R. Hoffman</author>
  </authors>
  <commentList>
    <comment ref="C18" authorId="0">
      <text>
        <r>
          <rPr>
            <sz val="8"/>
            <rFont val="Tahoma"/>
            <family val="2"/>
          </rPr>
          <t>The markings 0-100% correspond to 3000-0 Ω on the Plate knob.</t>
        </r>
      </text>
    </comment>
    <comment ref="C20" authorId="0">
      <text>
        <r>
          <rPr>
            <sz val="8"/>
            <rFont val="Tahoma"/>
            <family val="2"/>
          </rPr>
          <t>This is the DC sensitivity of the meter for full scale, 140% Conversion to 100% and the waveform correction factor at included in the later Imeter current calculation.</t>
        </r>
      </text>
    </comment>
    <comment ref="D23" authorId="0">
      <text>
        <r>
          <rPr>
            <sz val="8"/>
            <rFont val="Tahoma"/>
            <family val="2"/>
          </rPr>
          <t>This is the current through the meter, corrected down from 140% to 100%, and scaled below that if the Reading % has been changed. The waveform factor is also applied here.</t>
        </r>
      </text>
    </comment>
    <comment ref="C21" authorId="0">
      <text>
        <r>
          <rPr>
            <sz val="8"/>
            <rFont val="Tahoma"/>
            <family val="2"/>
          </rPr>
          <t>This is the target reading for a perfect, or bogie (bogey?), tube.</t>
        </r>
      </text>
    </comment>
    <comment ref="C13" authorId="0">
      <text>
        <r>
          <rPr>
            <sz val="8"/>
            <rFont val="Tahoma"/>
            <family val="2"/>
          </rPr>
          <t>Rs1-5 are the current shunt resistors.</t>
        </r>
      </text>
    </comment>
    <comment ref="G23" authorId="0">
      <text>
        <r>
          <rPr>
            <sz val="8"/>
            <rFont val="Tahoma"/>
            <family val="2"/>
          </rPr>
          <t>The current through the meter branch also has to be added in since it also flows through the tube. If it isn't considered, the more sensitive ranges will have a large error in the calculated value.</t>
        </r>
      </text>
    </comment>
    <comment ref="I23" authorId="0">
      <text>
        <r>
          <rPr>
            <sz val="8"/>
            <rFont val="Tahoma"/>
            <family val="2"/>
          </rPr>
          <t>These are the published ranges from the charts in the manual.</t>
        </r>
      </text>
    </comment>
  </commentList>
</comments>
</file>

<file path=xl/sharedStrings.xml><?xml version="1.0" encoding="utf-8"?>
<sst xmlns="http://schemas.openxmlformats.org/spreadsheetml/2006/main" count="262" uniqueCount="148">
  <si>
    <t>Type</t>
  </si>
  <si>
    <t>filament</t>
  </si>
  <si>
    <t>grid</t>
  </si>
  <si>
    <t>plate</t>
  </si>
  <si>
    <t>levers1</t>
  </si>
  <si>
    <t>levers2</t>
  </si>
  <si>
    <t>v</t>
  </si>
  <si>
    <t>s</t>
  </si>
  <si>
    <t>leak</t>
  </si>
  <si>
    <t>merit</t>
  </si>
  <si>
    <t>EL34</t>
  </si>
  <si>
    <r>
      <t xml:space="preserve">3, 4, </t>
    </r>
    <r>
      <rPr>
        <u val="single"/>
        <sz val="10"/>
        <rFont val="Arial"/>
        <family val="2"/>
      </rPr>
      <t>5</t>
    </r>
    <r>
      <rPr>
        <sz val="10"/>
        <rFont val="Arial"/>
        <family val="0"/>
      </rPr>
      <t>, 6</t>
    </r>
  </si>
  <si>
    <r>
      <t xml:space="preserve">1, 2, </t>
    </r>
    <r>
      <rPr>
        <u val="single"/>
        <sz val="10"/>
        <rFont val="Arial"/>
        <family val="2"/>
      </rPr>
      <t>3</t>
    </r>
  </si>
  <si>
    <r>
      <t xml:space="preserve">6, 7, </t>
    </r>
    <r>
      <rPr>
        <u val="single"/>
        <sz val="10"/>
        <rFont val="Arial"/>
        <family val="2"/>
      </rPr>
      <t>8</t>
    </r>
  </si>
  <si>
    <r>
      <t xml:space="preserve">2, 3, 6, </t>
    </r>
    <r>
      <rPr>
        <u val="single"/>
        <sz val="10"/>
        <rFont val="Arial"/>
        <family val="2"/>
      </rPr>
      <t>7</t>
    </r>
  </si>
  <si>
    <r>
      <t xml:space="preserve">1, </t>
    </r>
    <r>
      <rPr>
        <u val="single"/>
        <sz val="10"/>
        <rFont val="Arial"/>
        <family val="2"/>
      </rPr>
      <t>8</t>
    </r>
    <r>
      <rPr>
        <sz val="10"/>
        <rFont val="Arial"/>
        <family val="0"/>
      </rPr>
      <t>, 9</t>
    </r>
  </si>
  <si>
    <r>
      <t>4</t>
    </r>
    <r>
      <rPr>
        <sz val="10"/>
        <rFont val="Arial"/>
        <family val="0"/>
      </rPr>
      <t>, 9, 10</t>
    </r>
  </si>
  <si>
    <r>
      <t xml:space="preserve">5, </t>
    </r>
    <r>
      <rPr>
        <u val="single"/>
        <sz val="10"/>
        <rFont val="Arial"/>
        <family val="2"/>
      </rPr>
      <t>6</t>
    </r>
    <r>
      <rPr>
        <sz val="10"/>
        <rFont val="Arial"/>
        <family val="0"/>
      </rPr>
      <t>, 7</t>
    </r>
  </si>
  <si>
    <r>
      <t xml:space="preserve">2, </t>
    </r>
    <r>
      <rPr>
        <u val="single"/>
        <sz val="10"/>
        <rFont val="Arial"/>
        <family val="2"/>
      </rPr>
      <t>3</t>
    </r>
    <r>
      <rPr>
        <sz val="10"/>
        <rFont val="Arial"/>
        <family val="0"/>
      </rPr>
      <t>, 11</t>
    </r>
  </si>
  <si>
    <r>
      <t xml:space="preserve">3, 4, 5, </t>
    </r>
    <r>
      <rPr>
        <u val="single"/>
        <sz val="10"/>
        <rFont val="Arial"/>
        <family val="2"/>
      </rPr>
      <t>8</t>
    </r>
  </si>
  <si>
    <t>6L6</t>
  </si>
  <si>
    <t>12AX7 (A)</t>
  </si>
  <si>
    <t>12AX7 (B)</t>
  </si>
  <si>
    <t>12AT7 (A)</t>
  </si>
  <si>
    <t>12AT7 (B)</t>
  </si>
  <si>
    <t>12AU7 (A)</t>
  </si>
  <si>
    <t>12AU7 (B)</t>
  </si>
  <si>
    <t>6GH8A (A)</t>
  </si>
  <si>
    <t>6GH8A (B)</t>
  </si>
  <si>
    <t>6U10 (A)</t>
  </si>
  <si>
    <t>6U10 (B)</t>
  </si>
  <si>
    <t>6U10 (C )</t>
  </si>
  <si>
    <t>12AY7 (A)</t>
  </si>
  <si>
    <t>12AY7 (B)</t>
  </si>
  <si>
    <t>12AV7 (A)</t>
  </si>
  <si>
    <t>12AV7 (B)</t>
  </si>
  <si>
    <t>current</t>
  </si>
  <si>
    <t>plate knob</t>
  </si>
  <si>
    <t>Chart</t>
  </si>
  <si>
    <t>knob</t>
  </si>
  <si>
    <t>160 to 40</t>
  </si>
  <si>
    <t>40 to 10</t>
  </si>
  <si>
    <t>10 to 2.7</t>
  </si>
  <si>
    <t>2.65 to 0.75</t>
  </si>
  <si>
    <t>0.77 to 0.3</t>
  </si>
  <si>
    <t>or</t>
  </si>
  <si>
    <t>Current Chart Conversions from Manual- the chart number corresponds to the setting of lever "S"</t>
  </si>
  <si>
    <t>7581A</t>
  </si>
  <si>
    <t>7027A</t>
  </si>
  <si>
    <t>KT88</t>
  </si>
  <si>
    <t>KT66</t>
  </si>
  <si>
    <r>
      <t xml:space="preserve">1, 3, 5, </t>
    </r>
    <r>
      <rPr>
        <u val="single"/>
        <sz val="10"/>
        <rFont val="Arial"/>
        <family val="2"/>
      </rPr>
      <t>8</t>
    </r>
  </si>
  <si>
    <t>Rs1</t>
  </si>
  <si>
    <t>Rs2</t>
  </si>
  <si>
    <t>Rs3</t>
  </si>
  <si>
    <t>Rs4</t>
  </si>
  <si>
    <t>Rpot</t>
  </si>
  <si>
    <t>Ω</t>
  </si>
  <si>
    <t>Rmeter</t>
  </si>
  <si>
    <t>A</t>
  </si>
  <si>
    <t>Rs5</t>
  </si>
  <si>
    <t>Rs total</t>
  </si>
  <si>
    <t>Imeter</t>
  </si>
  <si>
    <t>Waveform factor</t>
  </si>
  <si>
    <t>"S" lever</t>
  </si>
  <si>
    <t>Range, mA</t>
  </si>
  <si>
    <t>Reading</t>
  </si>
  <si>
    <t>%</t>
  </si>
  <si>
    <t>Imeter140</t>
  </si>
  <si>
    <t>Vmeter</t>
  </si>
  <si>
    <t>Ishunt, mA</t>
  </si>
  <si>
    <t>Mostly change this!</t>
  </si>
  <si>
    <t>Itotal, mA</t>
  </si>
  <si>
    <t>(1 = DC, 0.625 is correct for the 666/667)</t>
  </si>
  <si>
    <t>Formulas in blue, change only the values in RED! This calculator incorporates the 0.625/1.6 correction factor.</t>
  </si>
  <si>
    <t>Desired Current:</t>
  </si>
  <si>
    <t>(mA)</t>
  </si>
  <si>
    <t>S-Lever Position:</t>
  </si>
  <si>
    <t>Plate Knob Setting:</t>
  </si>
  <si>
    <t>maximum</t>
  </si>
  <si>
    <t>minimum</t>
  </si>
  <si>
    <t>I, mA RMS</t>
  </si>
  <si>
    <t>I, mA peak</t>
  </si>
  <si>
    <t>Source</t>
  </si>
  <si>
    <t>Comments</t>
  </si>
  <si>
    <t>Hoffman</t>
  </si>
  <si>
    <t>low current functional test</t>
  </si>
  <si>
    <t>V1</t>
  </si>
  <si>
    <t>V2</t>
  </si>
  <si>
    <t>V3</t>
  </si>
  <si>
    <t>V4</t>
  </si>
  <si>
    <t>Eico, 7511</t>
  </si>
  <si>
    <t>Automatic Plate Current Calculator</t>
  </si>
  <si>
    <t>Or, use the automatic calculator below- thanks to the formula help from Philip!</t>
  </si>
  <si>
    <t>Plate watts peak</t>
  </si>
  <si>
    <t>Plate watts</t>
  </si>
  <si>
    <t>per class A datasheet values</t>
  </si>
  <si>
    <t>lower voltage for datasheet mA</t>
  </si>
  <si>
    <t>Eico, roll</t>
  </si>
  <si>
    <t>roll chart in my 667, high E &amp; I</t>
  </si>
  <si>
    <t>similar to roll chart</t>
  </si>
  <si>
    <t>EL84</t>
  </si>
  <si>
    <r>
      <t>2,</t>
    </r>
    <r>
      <rPr>
        <u val="single"/>
        <sz val="10"/>
        <rFont val="Arial"/>
        <family val="2"/>
      </rPr>
      <t>3</t>
    </r>
    <r>
      <rPr>
        <sz val="10"/>
        <rFont val="Arial"/>
        <family val="0"/>
      </rPr>
      <t>,7,9</t>
    </r>
  </si>
  <si>
    <t>high current but OK briefly</t>
  </si>
  <si>
    <t>6V6</t>
  </si>
  <si>
    <t>=EL84=7189=6P14P=6BQ5</t>
  </si>
  <si>
    <t>6AU6A</t>
  </si>
  <si>
    <r>
      <t xml:space="preserve">1, 5, 6, </t>
    </r>
    <r>
      <rPr>
        <u val="single"/>
        <sz val="10"/>
        <rFont val="Arial"/>
        <family val="2"/>
      </rPr>
      <t>7</t>
    </r>
  </si>
  <si>
    <t>check, seems high</t>
  </si>
  <si>
    <r>
      <t xml:space="preserve">3, </t>
    </r>
    <r>
      <rPr>
        <u val="single"/>
        <sz val="10"/>
        <rFont val="Arial"/>
        <family val="2"/>
      </rPr>
      <t>5</t>
    </r>
    <r>
      <rPr>
        <sz val="10"/>
        <rFont val="Arial"/>
        <family val="0"/>
      </rPr>
      <t>, 6, 8</t>
    </r>
  </si>
  <si>
    <t>6X4 (A)</t>
  </si>
  <si>
    <t>6X4 (B)</t>
  </si>
  <si>
    <r>
      <t xml:space="preserve">6, </t>
    </r>
    <r>
      <rPr>
        <u val="single"/>
        <sz val="10"/>
        <rFont val="Arial"/>
        <family val="2"/>
      </rPr>
      <t>7</t>
    </r>
  </si>
  <si>
    <r>
      <t xml:space="preserve">1, </t>
    </r>
    <r>
      <rPr>
        <u val="single"/>
        <sz val="10"/>
        <rFont val="Arial"/>
        <family val="2"/>
      </rPr>
      <t>7</t>
    </r>
  </si>
  <si>
    <t>6AQ5</t>
  </si>
  <si>
    <r>
      <t xml:space="preserve">1, </t>
    </r>
    <r>
      <rPr>
        <u val="single"/>
        <sz val="10"/>
        <rFont val="Arial"/>
        <family val="2"/>
      </rPr>
      <t>2</t>
    </r>
    <r>
      <rPr>
        <sz val="10"/>
        <rFont val="Arial"/>
        <family val="0"/>
      </rPr>
      <t>, 5, 6</t>
    </r>
  </si>
  <si>
    <t>EC81</t>
  </si>
  <si>
    <r>
      <t xml:space="preserve">1, </t>
    </r>
    <r>
      <rPr>
        <u val="single"/>
        <sz val="10"/>
        <rFont val="Arial"/>
        <family val="2"/>
      </rPr>
      <t>3</t>
    </r>
    <r>
      <rPr>
        <sz val="10"/>
        <rFont val="Arial"/>
        <family val="0"/>
      </rPr>
      <t>, 8</t>
    </r>
  </si>
  <si>
    <t>same as 6R4</t>
  </si>
  <si>
    <t>same as 6CA4</t>
  </si>
  <si>
    <t>EZ81 (A)</t>
  </si>
  <si>
    <t>1, 3</t>
  </si>
  <si>
    <t>3, 7</t>
  </si>
  <si>
    <t>EZ81 (B)</t>
  </si>
  <si>
    <t>6AV6 (A)</t>
  </si>
  <si>
    <t>6AV6 (B)</t>
  </si>
  <si>
    <r>
      <t xml:space="preserve">1, </t>
    </r>
    <r>
      <rPr>
        <u val="single"/>
        <sz val="10"/>
        <rFont val="Arial"/>
        <family val="2"/>
      </rPr>
      <t>2</t>
    </r>
    <r>
      <rPr>
        <sz val="10"/>
        <rFont val="Arial"/>
        <family val="0"/>
      </rPr>
      <t>, 7</t>
    </r>
  </si>
  <si>
    <t>5, 6</t>
  </si>
  <si>
    <t>6U8 (A)</t>
  </si>
  <si>
    <t>6U8 (B)</t>
  </si>
  <si>
    <t>6AN8 (A)</t>
  </si>
  <si>
    <t>6AN8 (B)</t>
  </si>
  <si>
    <r>
      <t xml:space="preserve">6, 7, 8, </t>
    </r>
    <r>
      <rPr>
        <u val="single"/>
        <sz val="10"/>
        <rFont val="Arial"/>
        <family val="2"/>
      </rPr>
      <t>9</t>
    </r>
  </si>
  <si>
    <t>6AU8 (A)</t>
  </si>
  <si>
    <t>6AU8 (B)</t>
  </si>
  <si>
    <r>
      <t>1</t>
    </r>
    <r>
      <rPr>
        <sz val="10"/>
        <rFont val="Arial"/>
        <family val="0"/>
      </rPr>
      <t>, 2, 3</t>
    </r>
  </si>
  <si>
    <r>
      <t>6</t>
    </r>
    <r>
      <rPr>
        <sz val="10"/>
        <rFont val="Arial"/>
        <family val="0"/>
      </rPr>
      <t>, 7, 8, 9</t>
    </r>
  </si>
  <si>
    <t>6GH8 (A)</t>
  </si>
  <si>
    <t>6GH8 (B)</t>
  </si>
  <si>
    <t>replaces 6U8, test is different?</t>
  </si>
  <si>
    <t>I cor</t>
  </si>
  <si>
    <t>P cor</t>
  </si>
  <si>
    <t>P peak</t>
  </si>
  <si>
    <t>I peak</t>
  </si>
  <si>
    <t>6L7</t>
  </si>
  <si>
    <t>6F5</t>
  </si>
  <si>
    <t>reference for correction factors</t>
  </si>
  <si>
    <t>13X rated current! Do not use!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</si>
</sst>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25">
    <font>
      <sz val="10"/>
      <name val="Arial"/>
      <family val="0"/>
    </font>
    <font>
      <u val="single"/>
      <sz val="10"/>
      <name val="Arial"/>
      <family val="2"/>
    </font>
    <font>
      <sz val="8"/>
      <name val="Arial"/>
      <family val="0"/>
    </font>
    <font>
      <b/>
      <sz val="10"/>
      <name val="Arial"/>
      <family val="2"/>
    </font>
    <font>
      <i/>
      <sz val="12"/>
      <name val="Arial"/>
      <family val="2"/>
    </font>
    <font>
      <sz val="10"/>
      <color indexed="12"/>
      <name val="Arial"/>
      <family val="0"/>
    </font>
    <font>
      <sz val="10"/>
      <color indexed="10"/>
      <name val="Arial"/>
      <family val="0"/>
    </font>
    <font>
      <b/>
      <sz val="14"/>
      <name val="Arial"/>
      <family val="2"/>
    </font>
    <font>
      <b/>
      <i/>
      <sz val="14"/>
      <name val="Arial"/>
      <family val="2"/>
    </font>
    <font>
      <b/>
      <i/>
      <sz val="12"/>
      <name val="Arial"/>
      <family val="2"/>
    </font>
    <font>
      <sz val="8"/>
      <name val="Tahoma"/>
      <family val="2"/>
    </font>
    <font>
      <sz val="14"/>
      <name val="Arial"/>
      <family val="2"/>
    </font>
    <font>
      <i/>
      <sz val="11"/>
      <name val="Arial"/>
      <family val="2"/>
    </font>
    <font>
      <b/>
      <sz val="10"/>
      <color indexed="10"/>
      <name val="Arial"/>
      <family val="2"/>
    </font>
    <font>
      <b/>
      <sz val="10"/>
      <color indexed="12"/>
      <name val="Arial"/>
      <family val="2"/>
    </font>
    <font>
      <b/>
      <i/>
      <sz val="8"/>
      <name val="Arial"/>
      <family val="2"/>
    </font>
    <font>
      <sz val="10"/>
      <color indexed="61"/>
      <name val="Arial"/>
      <family val="0"/>
    </font>
    <font>
      <sz val="12"/>
      <name val="Arial"/>
      <family val="2"/>
    </font>
    <font>
      <sz val="9"/>
      <name val="Arial"/>
      <family val="2"/>
    </font>
    <font>
      <sz val="10"/>
      <name val="Tahoma"/>
      <family val="2"/>
    </font>
    <font>
      <b/>
      <sz val="10"/>
      <name val="Tahoma"/>
      <family val="2"/>
    </font>
    <font>
      <b/>
      <sz val="12"/>
      <name val="Arial"/>
      <family val="2"/>
    </font>
    <font>
      <b/>
      <i/>
      <sz val="14"/>
      <color indexed="60"/>
      <name val="Arial"/>
      <family val="2"/>
    </font>
    <font>
      <b/>
      <sz val="8"/>
      <name val="Tahoma"/>
      <family val="0"/>
    </font>
    <font>
      <b/>
      <sz val="8"/>
      <name val="Arial"/>
      <family val="2"/>
    </font>
  </fonts>
  <fills count="2">
    <fill>
      <patternFill/>
    </fill>
    <fill>
      <patternFill patternType="gray125"/>
    </fill>
  </fills>
  <borders count="35">
    <border>
      <left/>
      <right/>
      <top/>
      <bottom/>
      <diagonal/>
    </border>
    <border>
      <left>
        <color indexed="63"/>
      </left>
      <right>
        <color indexed="63"/>
      </right>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thin"/>
      <top>
        <color indexed="63"/>
      </top>
      <bottom style="thin"/>
    </border>
    <border>
      <left style="thin"/>
      <right>
        <color indexed="63"/>
      </right>
      <top style="medium"/>
      <bottom style="medium"/>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hair"/>
      <right style="hair"/>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style="hair"/>
      <right style="hair"/>
      <top>
        <color indexed="63"/>
      </top>
      <bottom style="thin"/>
    </border>
    <border>
      <left style="medium"/>
      <right style="thin"/>
      <top style="medium"/>
      <bottom style="thin"/>
    </border>
    <border>
      <left style="thin"/>
      <right style="thin"/>
      <top style="medium"/>
      <bottom style="thin"/>
    </border>
    <border>
      <left style="hair"/>
      <right style="hair"/>
      <top style="medium"/>
      <bottom style="thin"/>
    </border>
    <border>
      <left style="thin"/>
      <right style="medium"/>
      <top style="medium"/>
      <bottom style="thin"/>
    </border>
    <border>
      <left style="hair"/>
      <right style="hair"/>
      <top style="thin"/>
      <bottom style="medium"/>
    </border>
    <border>
      <left style="thin"/>
      <right>
        <color indexed="63"/>
      </right>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4" fillId="0" borderId="0" xfId="0" applyFont="1" applyAlignment="1">
      <alignment/>
    </xf>
    <xf numFmtId="0" fontId="0" fillId="0" borderId="1" xfId="0" applyBorder="1" applyAlignment="1">
      <alignment/>
    </xf>
    <xf numFmtId="0" fontId="6" fillId="0" borderId="0" xfId="0" applyFont="1" applyAlignment="1">
      <alignment/>
    </xf>
    <xf numFmtId="0" fontId="5" fillId="0" borderId="0" xfId="0" applyFont="1" applyAlignment="1">
      <alignment/>
    </xf>
    <xf numFmtId="0" fontId="0" fillId="0" borderId="0" xfId="0" applyBorder="1" applyAlignment="1">
      <alignment horizontal="center"/>
    </xf>
    <xf numFmtId="164" fontId="5" fillId="0" borderId="0" xfId="0" applyNumberFormat="1" applyFont="1" applyAlignment="1">
      <alignment/>
    </xf>
    <xf numFmtId="0" fontId="0" fillId="0" borderId="0" xfId="0"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2" xfId="0" applyBorder="1" applyAlignment="1">
      <alignment horizontal="center"/>
    </xf>
    <xf numFmtId="0" fontId="0" fillId="0" borderId="2" xfId="0" applyBorder="1" applyAlignment="1">
      <alignment horizontal="right"/>
    </xf>
    <xf numFmtId="0" fontId="0" fillId="0" borderId="5" xfId="0" applyBorder="1" applyAlignment="1">
      <alignment/>
    </xf>
    <xf numFmtId="0" fontId="0" fillId="0" borderId="6" xfId="0" applyBorder="1" applyAlignment="1">
      <alignment/>
    </xf>
    <xf numFmtId="0" fontId="0" fillId="0" borderId="7" xfId="0" applyBorder="1" applyAlignment="1">
      <alignment/>
    </xf>
    <xf numFmtId="49" fontId="3" fillId="0" borderId="8" xfId="0" applyNumberFormat="1" applyFont="1" applyBorder="1" applyAlignment="1">
      <alignment horizontal="center" wrapText="1"/>
    </xf>
    <xf numFmtId="49" fontId="3" fillId="0" borderId="9" xfId="0" applyNumberFormat="1" applyFont="1" applyBorder="1" applyAlignment="1">
      <alignment horizontal="center" wrapText="1"/>
    </xf>
    <xf numFmtId="49" fontId="3" fillId="0" borderId="9"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0" fillId="0" borderId="9" xfId="0" applyBorder="1" applyAlignment="1">
      <alignment/>
    </xf>
    <xf numFmtId="0" fontId="0" fillId="0" borderId="10" xfId="0" applyBorder="1" applyAlignment="1">
      <alignment/>
    </xf>
    <xf numFmtId="0" fontId="6" fillId="0" borderId="2" xfId="0" applyFont="1" applyBorder="1" applyAlignment="1">
      <alignment/>
    </xf>
    <xf numFmtId="0" fontId="0" fillId="0" borderId="11" xfId="0" applyBorder="1" applyAlignment="1">
      <alignment horizontal="center"/>
    </xf>
    <xf numFmtId="0" fontId="6" fillId="0" borderId="5" xfId="0" applyFont="1" applyBorder="1" applyAlignment="1">
      <alignment/>
    </xf>
    <xf numFmtId="0" fontId="0" fillId="0" borderId="5" xfId="0" applyBorder="1" applyAlignment="1">
      <alignment horizontal="center"/>
    </xf>
    <xf numFmtId="0" fontId="0" fillId="0" borderId="12" xfId="0" applyBorder="1" applyAlignment="1">
      <alignment horizontal="center"/>
    </xf>
    <xf numFmtId="2" fontId="5" fillId="0" borderId="2" xfId="0" applyNumberFormat="1" applyFont="1" applyBorder="1" applyAlignment="1">
      <alignment/>
    </xf>
    <xf numFmtId="2" fontId="5" fillId="0" borderId="5" xfId="0" applyNumberFormat="1" applyFont="1" applyBorder="1" applyAlignment="1">
      <alignment/>
    </xf>
    <xf numFmtId="49" fontId="3" fillId="0" borderId="13" xfId="0" applyNumberFormat="1" applyFont="1" applyFill="1" applyBorder="1" applyAlignment="1">
      <alignment horizontal="center" wrapText="1"/>
    </xf>
    <xf numFmtId="0" fontId="2" fillId="0" borderId="7" xfId="0" applyFont="1" applyBorder="1" applyAlignment="1">
      <alignment horizontal="center"/>
    </xf>
    <xf numFmtId="0" fontId="2" fillId="0" borderId="14" xfId="0" applyFont="1" applyFill="1" applyBorder="1" applyAlignment="1">
      <alignment/>
    </xf>
    <xf numFmtId="0" fontId="15" fillId="0" borderId="8" xfId="0" applyFont="1" applyBorder="1" applyAlignment="1">
      <alignment/>
    </xf>
    <xf numFmtId="0" fontId="0" fillId="0" borderId="0" xfId="0" applyNumberFormat="1" applyBorder="1" applyAlignment="1">
      <alignment/>
    </xf>
    <xf numFmtId="0" fontId="0" fillId="0" borderId="0" xfId="0" applyNumberFormat="1" applyAlignment="1">
      <alignment/>
    </xf>
    <xf numFmtId="0" fontId="3" fillId="0" borderId="0" xfId="0" applyNumberFormat="1" applyFont="1" applyBorder="1" applyAlignment="1">
      <alignment/>
    </xf>
    <xf numFmtId="0" fontId="13" fillId="0" borderId="0" xfId="0" applyNumberFormat="1" applyFont="1" applyFill="1" applyBorder="1" applyAlignment="1">
      <alignment/>
    </xf>
    <xf numFmtId="0" fontId="14" fillId="0" borderId="0" xfId="0" applyNumberFormat="1" applyFont="1" applyFill="1" applyBorder="1" applyAlignment="1">
      <alignment/>
    </xf>
    <xf numFmtId="0" fontId="16" fillId="0" borderId="2" xfId="0" applyFont="1" applyBorder="1" applyAlignment="1">
      <alignment/>
    </xf>
    <xf numFmtId="0" fontId="0" fillId="0" borderId="15" xfId="0" applyBorder="1" applyAlignment="1">
      <alignment/>
    </xf>
    <xf numFmtId="0" fontId="0" fillId="0" borderId="16" xfId="0" applyBorder="1" applyAlignment="1">
      <alignment/>
    </xf>
    <xf numFmtId="0" fontId="5" fillId="0" borderId="16" xfId="0" applyFont="1" applyBorder="1" applyAlignment="1">
      <alignment/>
    </xf>
    <xf numFmtId="0" fontId="5" fillId="0" borderId="17" xfId="0" applyFont="1" applyBorder="1" applyAlignment="1">
      <alignment/>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horizontal="left"/>
    </xf>
    <xf numFmtId="0" fontId="0" fillId="0" borderId="21" xfId="0" applyBorder="1" applyAlignment="1">
      <alignment/>
    </xf>
    <xf numFmtId="0" fontId="13" fillId="0" borderId="20" xfId="0" applyFont="1" applyFill="1" applyBorder="1" applyAlignment="1">
      <alignment horizontal="left"/>
    </xf>
    <xf numFmtId="0" fontId="14" fillId="0" borderId="20" xfId="0" applyFont="1" applyFill="1" applyBorder="1" applyAlignment="1">
      <alignment horizontal="left"/>
    </xf>
    <xf numFmtId="0" fontId="14" fillId="0" borderId="21" xfId="0" applyFont="1" applyFill="1" applyBorder="1" applyAlignment="1">
      <alignment horizontal="left"/>
    </xf>
    <xf numFmtId="0" fontId="0" fillId="0" borderId="22" xfId="0" applyBorder="1" applyAlignment="1">
      <alignment/>
    </xf>
    <xf numFmtId="165" fontId="14" fillId="0" borderId="20" xfId="0" applyNumberFormat="1" applyFont="1" applyFill="1" applyBorder="1" applyAlignment="1">
      <alignment horizontal="left"/>
    </xf>
    <xf numFmtId="0" fontId="0" fillId="0" borderId="0" xfId="0" applyBorder="1" applyAlignment="1">
      <alignment/>
    </xf>
    <xf numFmtId="0" fontId="6" fillId="0" borderId="0" xfId="0" applyFont="1" applyBorder="1" applyAlignment="1">
      <alignment/>
    </xf>
    <xf numFmtId="2" fontId="5" fillId="0" borderId="0" xfId="0" applyNumberFormat="1" applyFont="1" applyBorder="1" applyAlignment="1">
      <alignment/>
    </xf>
    <xf numFmtId="0" fontId="0" fillId="0" borderId="0" xfId="0" applyBorder="1" applyAlignment="1">
      <alignment/>
    </xf>
    <xf numFmtId="0" fontId="0" fillId="0" borderId="7" xfId="0" applyBorder="1" applyAlignment="1">
      <alignment horizontal="center"/>
    </xf>
    <xf numFmtId="0" fontId="0" fillId="0" borderId="23" xfId="0" applyBorder="1" applyAlignment="1">
      <alignment horizontal="center"/>
    </xf>
    <xf numFmtId="0" fontId="0" fillId="0" borderId="7" xfId="0" applyBorder="1" applyAlignment="1">
      <alignment horizontal="right"/>
    </xf>
    <xf numFmtId="0" fontId="0" fillId="0" borderId="14" xfId="0" applyBorder="1" applyAlignment="1">
      <alignmen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5" xfId="0" applyBorder="1" applyAlignment="1">
      <alignment horizontal="right"/>
    </xf>
    <xf numFmtId="0" fontId="0" fillId="0" borderId="25" xfId="0" applyBorder="1" applyAlignment="1">
      <alignment/>
    </xf>
    <xf numFmtId="0" fontId="0" fillId="0" borderId="27" xfId="0" applyBorder="1" applyAlignment="1">
      <alignment/>
    </xf>
    <xf numFmtId="0" fontId="0" fillId="0" borderId="28" xfId="0" applyBorder="1" applyAlignment="1">
      <alignment horizontal="center"/>
    </xf>
    <xf numFmtId="0" fontId="0" fillId="0" borderId="5" xfId="0" applyBorder="1" applyAlignment="1">
      <alignment horizontal="right"/>
    </xf>
    <xf numFmtId="0" fontId="1" fillId="0" borderId="25" xfId="0" applyFont="1" applyBorder="1" applyAlignment="1">
      <alignment horizontal="right"/>
    </xf>
    <xf numFmtId="49" fontId="0" fillId="0" borderId="3" xfId="0" applyNumberFormat="1" applyBorder="1" applyAlignment="1">
      <alignment/>
    </xf>
    <xf numFmtId="0" fontId="3" fillId="0" borderId="8" xfId="0" applyFont="1" applyBorder="1" applyAlignment="1">
      <alignment horizontal="center" wrapText="1"/>
    </xf>
    <xf numFmtId="0" fontId="3" fillId="0" borderId="9" xfId="0" applyFont="1" applyBorder="1" applyAlignment="1">
      <alignment horizontal="center" wrapText="1"/>
    </xf>
    <xf numFmtId="0" fontId="0" fillId="0" borderId="10" xfId="0" applyBorder="1" applyAlignment="1">
      <alignment horizontal="center" wrapText="1"/>
    </xf>
    <xf numFmtId="0" fontId="3" fillId="0" borderId="13" xfId="0" applyFont="1" applyBorder="1" applyAlignment="1">
      <alignment horizontal="center" wrapText="1"/>
    </xf>
    <xf numFmtId="0" fontId="1" fillId="0" borderId="2" xfId="0" applyFont="1" applyBorder="1" applyAlignment="1">
      <alignment horizontal="right"/>
    </xf>
    <xf numFmtId="2" fontId="5" fillId="0" borderId="29" xfId="0" applyNumberFormat="1" applyFont="1" applyBorder="1" applyAlignment="1">
      <alignment/>
    </xf>
    <xf numFmtId="0" fontId="0" fillId="0" borderId="30" xfId="0" applyBorder="1" applyAlignment="1">
      <alignment horizontal="right"/>
    </xf>
    <xf numFmtId="0" fontId="0" fillId="0" borderId="20" xfId="0" applyBorder="1" applyAlignment="1">
      <alignment horizontal="right"/>
    </xf>
    <xf numFmtId="0" fontId="0" fillId="0" borderId="31" xfId="0" applyBorder="1" applyAlignment="1">
      <alignment horizontal="right"/>
    </xf>
    <xf numFmtId="0" fontId="0" fillId="0" borderId="1" xfId="0" applyBorder="1" applyAlignment="1">
      <alignment horizontal="right"/>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0</xdr:colOff>
      <xdr:row>3</xdr:row>
      <xdr:rowOff>104775</xdr:rowOff>
    </xdr:to>
    <xdr:sp>
      <xdr:nvSpPr>
        <xdr:cNvPr id="1" name="TextBox 1"/>
        <xdr:cNvSpPr txBox="1">
          <a:spLocks noChangeArrowheads="1"/>
        </xdr:cNvSpPr>
      </xdr:nvSpPr>
      <xdr:spPr>
        <a:xfrm>
          <a:off x="609600" y="171450"/>
          <a:ext cx="7924800"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Cheat Sheet for the Eico 666 (Satan's Choice) and 667 Tube Testers
</a:t>
          </a:r>
          <a:r>
            <a:rPr lang="en-US" cap="none" sz="1200" b="1" i="0" u="none" baseline="0">
              <a:latin typeface="Arial"/>
              <a:ea typeface="Arial"/>
              <a:cs typeface="Arial"/>
            </a:rPr>
            <a:t>*dynamic conductance testers*</a:t>
          </a:r>
        </a:p>
      </xdr:txBody>
    </xdr:sp>
    <xdr:clientData/>
  </xdr:twoCellAnchor>
  <xdr:twoCellAnchor>
    <xdr:from>
      <xdr:col>1</xdr:col>
      <xdr:colOff>9525</xdr:colOff>
      <xdr:row>5</xdr:row>
      <xdr:rowOff>0</xdr:rowOff>
    </xdr:from>
    <xdr:to>
      <xdr:col>14</xdr:col>
      <xdr:colOff>0</xdr:colOff>
      <xdr:row>27</xdr:row>
      <xdr:rowOff>9525</xdr:rowOff>
    </xdr:to>
    <xdr:sp>
      <xdr:nvSpPr>
        <xdr:cNvPr id="2" name="TextBox 2"/>
        <xdr:cNvSpPr txBox="1">
          <a:spLocks noChangeArrowheads="1"/>
        </xdr:cNvSpPr>
      </xdr:nvSpPr>
      <xdr:spPr>
        <a:xfrm>
          <a:off x="619125" y="809625"/>
          <a:ext cx="7915275" cy="3571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Hi Altitude Overview- Things you should understand:
CAUTION: Tube testers operate at high voltages that may be accessible to the operator. Use appropriate care to avoid contact with all voltage points, especially when servicing the unit. Do not ground yourself and never use both hands when working with high voltage equipment. Follow the "one hand in pocket or behind the back" rule. </a:t>
          </a:r>
          <a:r>
            <a:rPr lang="en-US" cap="none" sz="1000" b="1" i="0" u="none" baseline="0">
              <a:latin typeface="Arial"/>
              <a:ea typeface="Arial"/>
              <a:cs typeface="Arial"/>
            </a:rPr>
            <a:t>Use any information on these sheets entirely at your own risk.</a:t>
          </a:r>
          <a:r>
            <a:rPr lang="en-US" cap="none" sz="1000" b="0" i="0" u="none" baseline="0">
              <a:latin typeface="Arial"/>
              <a:ea typeface="Arial"/>
              <a:cs typeface="Arial"/>
            </a:rPr>
            <a:t>
Be sure to get a manual and schematic for your tester. You can download one at the BAMA boat anchor archive site. The two testers are very similar; the 667 simply adds a couple levers for tubes with more pins, and adds a transistor testing socket and settings.
If you look at the schematic, the only rectifiers and caps you'll see are for the -70 volt leakage test supply and the transistor tester (667 only). Other than leakage, these testers do their testing using AC signals straight from the transformer. </a:t>
          </a:r>
          <a:r>
            <a:rPr lang="en-US" cap="none" sz="1000" b="1" i="0" u="none" baseline="0">
              <a:latin typeface="Arial"/>
              <a:ea typeface="Arial"/>
              <a:cs typeface="Arial"/>
            </a:rPr>
            <a:t>There are no DC plate or grid supplies used in merit testing- it's all AC</a:t>
          </a:r>
          <a:r>
            <a:rPr lang="en-US" cap="none" sz="1000" b="0" i="0" u="none" baseline="0">
              <a:latin typeface="Arial"/>
              <a:ea typeface="Arial"/>
              <a:cs typeface="Arial"/>
            </a:rPr>
            <a:t>.
Working somewhat backwards, note that the "</a:t>
          </a:r>
          <a:r>
            <a:rPr lang="en-US" cap="none" sz="1000" b="1" i="0" u="none" baseline="0">
              <a:latin typeface="Arial"/>
              <a:ea typeface="Arial"/>
              <a:cs typeface="Arial"/>
            </a:rPr>
            <a:t>S</a:t>
          </a:r>
          <a:r>
            <a:rPr lang="en-US" cap="none" sz="1000" b="0" i="0" u="none" baseline="0">
              <a:latin typeface="Arial"/>
              <a:ea typeface="Arial"/>
              <a:cs typeface="Arial"/>
            </a:rPr>
            <a:t>" lever and the </a:t>
          </a:r>
          <a:r>
            <a:rPr lang="en-US" cap="none" sz="1000" b="1" i="0" u="none" baseline="0">
              <a:latin typeface="Arial"/>
              <a:ea typeface="Arial"/>
              <a:cs typeface="Arial"/>
            </a:rPr>
            <a:t>Plate</a:t>
          </a:r>
          <a:r>
            <a:rPr lang="en-US" cap="none" sz="1000" b="0" i="0" u="none" baseline="0">
              <a:latin typeface="Arial"/>
              <a:ea typeface="Arial"/>
              <a:cs typeface="Arial"/>
            </a:rPr>
            <a:t> knob work together to set the sensitivity of the meter. They have no effect on the actual voltage and current seen by the tube, only how high the meter reads for a given current. They can be set for a </a:t>
          </a:r>
          <a:r>
            <a:rPr lang="en-US" cap="none" sz="1000" b="0" i="0" u="sng" baseline="0">
              <a:latin typeface="Arial"/>
              <a:ea typeface="Arial"/>
              <a:cs typeface="Arial"/>
            </a:rPr>
            <a:t>continuous</a:t>
          </a:r>
          <a:r>
            <a:rPr lang="en-US" cap="none" sz="1000" b="0" i="0" u="none" baseline="0">
              <a:latin typeface="Arial"/>
              <a:ea typeface="Arial"/>
              <a:cs typeface="Arial"/>
            </a:rPr>
            <a:t> range of current, anywhere from </a:t>
          </a:r>
          <a:r>
            <a:rPr lang="en-US" cap="none" sz="1000" b="0" i="0" u="sng" baseline="0">
              <a:latin typeface="Arial"/>
              <a:ea typeface="Arial"/>
              <a:cs typeface="Arial"/>
            </a:rPr>
            <a:t>0.3 to 160 mA</a:t>
          </a:r>
          <a:r>
            <a:rPr lang="en-US" cap="none" sz="1000" b="0" i="0" u="none" baseline="0">
              <a:latin typeface="Arial"/>
              <a:ea typeface="Arial"/>
              <a:cs typeface="Arial"/>
            </a:rPr>
            <a:t> at the 100% meter mark. 100% is considered the nominal mark for a perfect tube.
The "</a:t>
          </a:r>
          <a:r>
            <a:rPr lang="en-US" cap="none" sz="1000" b="1" i="0" u="none" baseline="0">
              <a:latin typeface="Arial"/>
              <a:ea typeface="Arial"/>
              <a:cs typeface="Arial"/>
            </a:rPr>
            <a:t>V</a:t>
          </a:r>
          <a:r>
            <a:rPr lang="en-US" cap="none" sz="1000" b="0" i="0" u="none" baseline="0">
              <a:latin typeface="Arial"/>
              <a:ea typeface="Arial"/>
              <a:cs typeface="Arial"/>
            </a:rPr>
            <a:t>" lever selects </a:t>
          </a:r>
          <a:r>
            <a:rPr lang="en-US" cap="none" sz="1000" b="0" i="0" u="sng" baseline="0">
              <a:latin typeface="Arial"/>
              <a:ea typeface="Arial"/>
              <a:cs typeface="Arial"/>
            </a:rPr>
            <a:t>discrete</a:t>
          </a:r>
          <a:r>
            <a:rPr lang="en-US" cap="none" sz="1000" b="0" i="0" u="none" baseline="0">
              <a:latin typeface="Arial"/>
              <a:ea typeface="Arial"/>
              <a:cs typeface="Arial"/>
            </a:rPr>
            <a:t> voltage combinations for the plate and screens. See the manual for details, but you have the choice of 3 plate voltages: </a:t>
          </a:r>
          <a:r>
            <a:rPr lang="en-US" cap="none" sz="1000" b="0" i="0" u="sng" baseline="0">
              <a:latin typeface="Arial"/>
              <a:ea typeface="Arial"/>
              <a:cs typeface="Arial"/>
            </a:rPr>
            <a:t>45, 90, and 180 volts RMS</a:t>
          </a:r>
          <a:r>
            <a:rPr lang="en-US" cap="none" sz="1000" b="0" i="0" u="none" baseline="0">
              <a:latin typeface="Arial"/>
              <a:ea typeface="Arial"/>
              <a:cs typeface="Arial"/>
            </a:rPr>
            <a:t>. That's it and there's no fine adjustment. The </a:t>
          </a:r>
          <a:r>
            <a:rPr lang="en-US" cap="none" sz="1000" b="1" i="0" u="none" baseline="0">
              <a:latin typeface="Arial"/>
              <a:ea typeface="Arial"/>
              <a:cs typeface="Arial"/>
            </a:rPr>
            <a:t>Grid</a:t>
          </a:r>
          <a:r>
            <a:rPr lang="en-US" cap="none" sz="1000" b="0" i="0" u="none" baseline="0">
              <a:latin typeface="Arial"/>
              <a:ea typeface="Arial"/>
              <a:cs typeface="Arial"/>
            </a:rPr>
            <a:t> knob controls the voltage to the control grid. Those two settings, one lever and one knob, determine how much current the tube conducts when you pull the Merit lever to test the tube. The combination of voltage and current also determines the plate dissipation.
</a:t>
          </a:r>
        </a:p>
      </xdr:txBody>
    </xdr:sp>
    <xdr:clientData/>
  </xdr:twoCellAnchor>
  <xdr:twoCellAnchor>
    <xdr:from>
      <xdr:col>1</xdr:col>
      <xdr:colOff>9525</xdr:colOff>
      <xdr:row>27</xdr:row>
      <xdr:rowOff>152400</xdr:rowOff>
    </xdr:from>
    <xdr:to>
      <xdr:col>14</xdr:col>
      <xdr:colOff>19050</xdr:colOff>
      <xdr:row>52</xdr:row>
      <xdr:rowOff>152400</xdr:rowOff>
    </xdr:to>
    <xdr:sp>
      <xdr:nvSpPr>
        <xdr:cNvPr id="3" name="TextBox 3"/>
        <xdr:cNvSpPr txBox="1">
          <a:spLocks noChangeArrowheads="1"/>
        </xdr:cNvSpPr>
      </xdr:nvSpPr>
      <xdr:spPr>
        <a:xfrm>
          <a:off x="619125" y="4524375"/>
          <a:ext cx="7934325" cy="404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setup charts, both the roll charts and others, seem to contain a large number of errors and some of the settings seem ill suited to the purpose. The next page is both a cheat sheet for commonly used audio tubes, but also provides a place for you to develop and record your own setups that are better suited to your needs and better reflect the quirks of your particular tube tester.
I'm only concerned here with simple triodes and beam power tubes- if you have something more complex, refer to the manual. The process is basically simple for most audio tubes. First, from the tube specifications, find the class A amplifier example. It will often have a plate voltage of 100 V. From that, choose the "</a:t>
          </a:r>
          <a:r>
            <a:rPr lang="en-US" cap="none" sz="1000" b="1" i="0" u="none" baseline="0">
              <a:latin typeface="Arial"/>
              <a:ea typeface="Arial"/>
              <a:cs typeface="Arial"/>
            </a:rPr>
            <a:t>V</a:t>
          </a:r>
          <a:r>
            <a:rPr lang="en-US" cap="none" sz="1000" b="0" i="0" u="none" baseline="0">
              <a:latin typeface="Arial"/>
              <a:ea typeface="Arial"/>
              <a:cs typeface="Arial"/>
            </a:rPr>
            <a:t>" lever setting that gives the closest value, position </a:t>
          </a:r>
          <a:r>
            <a:rPr lang="en-US" cap="none" sz="1000" b="1" i="0" u="none" baseline="0">
              <a:latin typeface="Arial"/>
              <a:ea typeface="Arial"/>
              <a:cs typeface="Arial"/>
            </a:rPr>
            <a:t>2</a:t>
          </a:r>
          <a:r>
            <a:rPr lang="en-US" cap="none" sz="1000" b="0" i="0" u="none" baseline="0">
              <a:latin typeface="Arial"/>
              <a:ea typeface="Arial"/>
              <a:cs typeface="Arial"/>
            </a:rPr>
            <a:t>, 90 V in this case. Don't exceed about 2/3 of the absolute maximum plate value. In other words, the 90 Vrms setting is OK for a plate voltage of up to 135 VDC. (The tube will only conduct the positive peak of the applied AC voltage, 127V peak for 90 Vrms, so two thirds is a handy rule of thumb.)
Next, choose the test current. Something close to the class A example is typical. The manual contains 5 charts to select the "</a:t>
          </a:r>
          <a:r>
            <a:rPr lang="en-US" cap="none" sz="1000" b="1" i="0" u="none" baseline="0">
              <a:latin typeface="Arial"/>
              <a:ea typeface="Arial"/>
              <a:cs typeface="Arial"/>
            </a:rPr>
            <a:t>S</a:t>
          </a:r>
          <a:r>
            <a:rPr lang="en-US" cap="none" sz="1000" b="0" i="0" u="none" baseline="0">
              <a:latin typeface="Arial"/>
              <a:ea typeface="Arial"/>
              <a:cs typeface="Arial"/>
            </a:rPr>
            <a:t>" lever and </a:t>
          </a:r>
          <a:r>
            <a:rPr lang="en-US" cap="none" sz="1000" b="1" i="0" u="none" baseline="0">
              <a:latin typeface="Arial"/>
              <a:ea typeface="Arial"/>
              <a:cs typeface="Arial"/>
            </a:rPr>
            <a:t>Plate</a:t>
          </a:r>
          <a:r>
            <a:rPr lang="en-US" cap="none" sz="1000" b="0" i="0" u="none" baseline="0">
              <a:latin typeface="Arial"/>
              <a:ea typeface="Arial"/>
              <a:cs typeface="Arial"/>
            </a:rPr>
            <a:t> knob settings to make the meter read 100% for a given current. I've put the formulas at the bottom of the next page so you can quickly get the settings without the charts. Choose the "</a:t>
          </a:r>
          <a:r>
            <a:rPr lang="en-US" cap="none" sz="1000" b="1" i="0" u="none" baseline="0">
              <a:latin typeface="Arial"/>
              <a:ea typeface="Arial"/>
              <a:cs typeface="Arial"/>
            </a:rPr>
            <a:t>S</a:t>
          </a:r>
          <a:r>
            <a:rPr lang="en-US" cap="none" sz="1000" b="0" i="0" u="none" baseline="0">
              <a:latin typeface="Arial"/>
              <a:ea typeface="Arial"/>
              <a:cs typeface="Arial"/>
            </a:rPr>
            <a:t>" lever setting that covers the range, then enter the current to get the </a:t>
          </a:r>
          <a:r>
            <a:rPr lang="en-US" cap="none" sz="1000" b="1" i="0" u="none" baseline="0">
              <a:latin typeface="Arial"/>
              <a:ea typeface="Arial"/>
              <a:cs typeface="Arial"/>
            </a:rPr>
            <a:t>Plate</a:t>
          </a:r>
          <a:r>
            <a:rPr lang="en-US" cap="none" sz="1000" b="0" i="0" u="none" baseline="0">
              <a:latin typeface="Arial"/>
              <a:ea typeface="Arial"/>
              <a:cs typeface="Arial"/>
            </a:rPr>
            <a:t> knob setting. There are also inverse formulas so you can go from published settings, back to current values.
Finally, with the socket levers set for the tube wiring, and the test button for the plate pushed, do a merit test and increase the Grid knob until the meter reads an average of 100% for a group of known good tubes. You now have your settings for that tube type!
*** Be sure to read the last pages on accuracy and power dissipation. </a:t>
          </a:r>
          <a:r>
            <a:rPr lang="en-US" cap="none" sz="1000" b="1" i="0" u="none" baseline="0">
              <a:latin typeface="Arial"/>
              <a:ea typeface="Arial"/>
              <a:cs typeface="Arial"/>
            </a:rPr>
            <a:t>The previous version of this spreadsheet didn't calculate the plate dissipation correctly. That has been somewhat corrected, but properly measuring plate dissipation remains a difficult task. </a:t>
          </a:r>
          <a:r>
            <a:rPr lang="en-US" cap="none" sz="1000" b="0" i="0" u="none" baseline="0">
              <a:latin typeface="Arial"/>
              <a:ea typeface="Arial"/>
              <a:cs typeface="Arial"/>
            </a:rPr>
            <a:t>***
Created July 29, 2012, last edit October 12, 2015
C. Hoffman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9525</xdr:rowOff>
    </xdr:from>
    <xdr:to>
      <xdr:col>15</xdr:col>
      <xdr:colOff>9525</xdr:colOff>
      <xdr:row>97</xdr:row>
      <xdr:rowOff>152400</xdr:rowOff>
    </xdr:to>
    <xdr:sp>
      <xdr:nvSpPr>
        <xdr:cNvPr id="1" name="TextBox 1"/>
        <xdr:cNvSpPr txBox="1">
          <a:spLocks noChangeArrowheads="1"/>
        </xdr:cNvSpPr>
      </xdr:nvSpPr>
      <xdr:spPr>
        <a:xfrm>
          <a:off x="0" y="12573000"/>
          <a:ext cx="8601075" cy="435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Set knobs and levers as shown. Check leakage using buttons as marked. If the number is underlined, you must also press the H-K button for the leakage value. DO NOT DO A MERIT TEST IF THE LEAKAGE IS HIGH OR THE TUBE IS SHORTED!
If the tube has more than one section, REMOVE TUBE (or turn off the power) before changing lever settings.
Do not hold merit lever for any longer than needed to acquire the reading because some Eico test settings are a bit rough on tubes.
Settings are from both my roll chart and the later pdf chart at BAMA, which ever seemed to make the most sense. Both contain errors and non-optimal settings. I've established new settings for lower plate currents on some 12A?7 types as shown in the notes. These are subject to change as a larger sample of tubes are tested.
</a:t>
          </a:r>
          <a:r>
            <a:rPr lang="en-US" cap="none" sz="1000" b="1" i="0" u="none" baseline="0">
              <a:latin typeface="Arial"/>
              <a:ea typeface="Arial"/>
              <a:cs typeface="Arial"/>
            </a:rPr>
            <a:t>Even though you can target any test current, you only have a limited range of grid voltages that can be applied. It may not be possible to test below certain currents. For example, you can't test a 12AX7 at the datasheet target of 0.5 mA and 90 Vrms because even with the minimum grid setting, the current will usually be far higher than 0.5 mA. You will have to select a higher current, or a lower plate voltage. Lowering the plate voltage simultaneously lowers the grid voltage.</a:t>
          </a:r>
          <a:r>
            <a:rPr lang="en-US" cap="none" sz="1000" b="0" i="0" u="none" baseline="0">
              <a:latin typeface="Arial"/>
              <a:ea typeface="Arial"/>
              <a:cs typeface="Arial"/>
            </a:rPr>
            <a:t>
Note that 12AX7A = 7025 = EC83 = 5751, 12AV7 = EC82 = 5965A, 12AU7A = 6189, 7581A = KT66, EL34 = 6CA7 and many others. Many supposedly identical tubes have different setups in the charts. It's a mystery why the various test currents were chosen and it might just be due to the preferences of the person doing the setups at a given time. It  also seems they  couldn't  decide whether to leave unused pins open or ground them, so both are routinely shown, even for the same tube. Always pay attention to the test current! Back calculate the current using the lever and knob settings from the charts, and the utility below, to be sure the test current makes sense for the tube type and for your application.
There are various equivalent lever settings. The filament voltage may be applied to either end, and the other grounded, but but sure to leave any center taps open, not grounded! Unused elements may be open or grounded, depending on the manufacturers recomendations or personal preference. Thus the lever settings 6661245 have the same effect on 12A?7 tubes as 1112145.</a:t>
          </a:r>
        </a:p>
      </xdr:txBody>
    </xdr:sp>
    <xdr:clientData/>
  </xdr:twoCellAnchor>
  <xdr:twoCellAnchor>
    <xdr:from>
      <xdr:col>1</xdr:col>
      <xdr:colOff>0</xdr:colOff>
      <xdr:row>0</xdr:row>
      <xdr:rowOff>171450</xdr:rowOff>
    </xdr:from>
    <xdr:to>
      <xdr:col>10</xdr:col>
      <xdr:colOff>485775</xdr:colOff>
      <xdr:row>9</xdr:row>
      <xdr:rowOff>28575</xdr:rowOff>
    </xdr:to>
    <xdr:sp>
      <xdr:nvSpPr>
        <xdr:cNvPr id="2" name="TextBox 2"/>
        <xdr:cNvSpPr txBox="1">
          <a:spLocks noChangeArrowheads="1"/>
        </xdr:cNvSpPr>
      </xdr:nvSpPr>
      <xdr:spPr>
        <a:xfrm>
          <a:off x="647700" y="171450"/>
          <a:ext cx="5743575" cy="1571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Arial"/>
              <a:ea typeface="Arial"/>
              <a:cs typeface="Arial"/>
            </a:rPr>
            <a:t>Selected Audio Tube Settings for the Eico 666/667 Tube Tester</a:t>
          </a:r>
          <a:r>
            <a:rPr lang="en-US" cap="none" sz="1000" b="0" i="0" u="none" baseline="0">
              <a:latin typeface="Arial"/>
              <a:ea typeface="Arial"/>
              <a:cs typeface="Arial"/>
            </a:rPr>
            <a:t>
</a:t>
          </a:r>
          <a:r>
            <a:rPr lang="en-US" cap="none" sz="1100" b="0" i="1" u="none" baseline="0">
              <a:latin typeface="Arial"/>
              <a:ea typeface="Arial"/>
              <a:cs typeface="Arial"/>
            </a:rPr>
            <a:t>Includes some brand new settings that take into account the actual current and plate dissipation, automatically calculated from the lever and knob settings.</a:t>
          </a:r>
        </a:p>
      </xdr:txBody>
    </xdr:sp>
    <xdr:clientData/>
  </xdr:twoCellAnchor>
  <xdr:twoCellAnchor>
    <xdr:from>
      <xdr:col>15</xdr:col>
      <xdr:colOff>0</xdr:colOff>
      <xdr:row>0</xdr:row>
      <xdr:rowOff>180975</xdr:rowOff>
    </xdr:from>
    <xdr:to>
      <xdr:col>16</xdr:col>
      <xdr:colOff>0</xdr:colOff>
      <xdr:row>8</xdr:row>
      <xdr:rowOff>171450</xdr:rowOff>
    </xdr:to>
    <xdr:sp>
      <xdr:nvSpPr>
        <xdr:cNvPr id="3" name="TextBox 6"/>
        <xdr:cNvSpPr txBox="1">
          <a:spLocks noChangeArrowheads="1"/>
        </xdr:cNvSpPr>
      </xdr:nvSpPr>
      <xdr:spPr>
        <a:xfrm>
          <a:off x="8591550" y="180975"/>
          <a:ext cx="1828800"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Results assume a 100% reading on the meter. These new numbers were established with a VAW meter and the KT66 tube. Other ranges should be similar. Note that the voltages are from my unit- yours may be slightly different.</a:t>
          </a:r>
        </a:p>
      </xdr:txBody>
    </xdr:sp>
    <xdr:clientData/>
  </xdr:twoCellAnchor>
  <xdr:twoCellAnchor>
    <xdr:from>
      <xdr:col>13</xdr:col>
      <xdr:colOff>9525</xdr:colOff>
      <xdr:row>101</xdr:row>
      <xdr:rowOff>0</xdr:rowOff>
    </xdr:from>
    <xdr:to>
      <xdr:col>14</xdr:col>
      <xdr:colOff>676275</xdr:colOff>
      <xdr:row>108</xdr:row>
      <xdr:rowOff>0</xdr:rowOff>
    </xdr:to>
    <xdr:sp>
      <xdr:nvSpPr>
        <xdr:cNvPr id="4" name="TextBox 11"/>
        <xdr:cNvSpPr txBox="1">
          <a:spLocks noChangeArrowheads="1"/>
        </xdr:cNvSpPr>
      </xdr:nvSpPr>
      <xdr:spPr>
        <a:xfrm>
          <a:off x="7400925" y="17430750"/>
          <a:ext cx="118110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charts do not incorporate the new correction factors used above, but the results will be close.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13</xdr:col>
      <xdr:colOff>600075</xdr:colOff>
      <xdr:row>4</xdr:row>
      <xdr:rowOff>0</xdr:rowOff>
    </xdr:to>
    <xdr:sp>
      <xdr:nvSpPr>
        <xdr:cNvPr id="1" name="TextBox 1"/>
        <xdr:cNvSpPr txBox="1">
          <a:spLocks noChangeArrowheads="1"/>
        </xdr:cNvSpPr>
      </xdr:nvSpPr>
      <xdr:spPr>
        <a:xfrm>
          <a:off x="609600" y="171450"/>
          <a:ext cx="7915275"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1" u="none" baseline="0">
              <a:latin typeface="Arial"/>
              <a:ea typeface="Arial"/>
              <a:cs typeface="Arial"/>
            </a:rPr>
            <a:t>667 Checks and Calibration</a:t>
          </a:r>
        </a:p>
      </xdr:txBody>
    </xdr:sp>
    <xdr:clientData/>
  </xdr:twoCellAnchor>
  <xdr:twoCellAnchor>
    <xdr:from>
      <xdr:col>1</xdr:col>
      <xdr:colOff>9525</xdr:colOff>
      <xdr:row>5</xdr:row>
      <xdr:rowOff>0</xdr:rowOff>
    </xdr:from>
    <xdr:to>
      <xdr:col>14</xdr:col>
      <xdr:colOff>0</xdr:colOff>
      <xdr:row>8</xdr:row>
      <xdr:rowOff>0</xdr:rowOff>
    </xdr:to>
    <xdr:sp>
      <xdr:nvSpPr>
        <xdr:cNvPr id="2" name="TextBox 2"/>
        <xdr:cNvSpPr txBox="1">
          <a:spLocks noChangeArrowheads="1"/>
        </xdr:cNvSpPr>
      </xdr:nvSpPr>
      <xdr:spPr>
        <a:xfrm>
          <a:off x="619125" y="809625"/>
          <a:ext cx="79152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There are only two actual calibration adjustments. The manual covers how to set them, but the results were not completely satisfactory for me. Here are alternate methods and additional checks you can do. You'll need a reasonably accurate AC meter, an ohmmeter and two resistors.</a:t>
          </a:r>
        </a:p>
      </xdr:txBody>
    </xdr:sp>
    <xdr:clientData/>
  </xdr:twoCellAnchor>
  <xdr:twoCellAnchor>
    <xdr:from>
      <xdr:col>1</xdr:col>
      <xdr:colOff>9525</xdr:colOff>
      <xdr:row>22</xdr:row>
      <xdr:rowOff>152400</xdr:rowOff>
    </xdr:from>
    <xdr:to>
      <xdr:col>14</xdr:col>
      <xdr:colOff>0</xdr:colOff>
      <xdr:row>28</xdr:row>
      <xdr:rowOff>152400</xdr:rowOff>
    </xdr:to>
    <xdr:sp>
      <xdr:nvSpPr>
        <xdr:cNvPr id="3" name="TextBox 3"/>
        <xdr:cNvSpPr txBox="1">
          <a:spLocks noChangeArrowheads="1"/>
        </xdr:cNvSpPr>
      </xdr:nvSpPr>
      <xdr:spPr>
        <a:xfrm>
          <a:off x="619125" y="3714750"/>
          <a:ext cx="7915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First, perform the calibration exactly as described in the manual. Check the results for leakage accuracy by setting up for some common tube, but insert a 100 K</a:t>
          </a:r>
          <a:r>
            <a:rPr lang="en-US" cap="none" sz="1000" b="0" i="0" u="none" baseline="0">
              <a:latin typeface="Arial"/>
              <a:ea typeface="Arial"/>
              <a:cs typeface="Arial"/>
            </a:rPr>
            <a:t>Ω</a:t>
          </a:r>
          <a:r>
            <a:rPr lang="en-US" cap="none" sz="1000" b="0" i="0" u="none" baseline="0">
              <a:latin typeface="Arial"/>
              <a:ea typeface="Arial"/>
              <a:cs typeface="Arial"/>
            </a:rPr>
            <a:t> 1% resistor between the plate and cathode terminals, instead of an actual tube. This simulates a leakage. The meter should read 100 KΩ. Repeat with 1 MΩ 1%. These results should be very accurate. If they aren't, check the -70 VDC supply diode and capacitor, plus the related passive components in the circuit. If the results are only a needle width or two off, tweak the leakage calibration adjustment as needed. If it's more, you need to troubleshoot the problem.</a:t>
          </a:r>
        </a:p>
      </xdr:txBody>
    </xdr:sp>
    <xdr:clientData/>
  </xdr:twoCellAnchor>
  <xdr:twoCellAnchor>
    <xdr:from>
      <xdr:col>1</xdr:col>
      <xdr:colOff>9525</xdr:colOff>
      <xdr:row>30</xdr:row>
      <xdr:rowOff>0</xdr:rowOff>
    </xdr:from>
    <xdr:to>
      <xdr:col>14</xdr:col>
      <xdr:colOff>0</xdr:colOff>
      <xdr:row>35</xdr:row>
      <xdr:rowOff>152400</xdr:rowOff>
    </xdr:to>
    <xdr:sp>
      <xdr:nvSpPr>
        <xdr:cNvPr id="4" name="TextBox 4"/>
        <xdr:cNvSpPr txBox="1">
          <a:spLocks noChangeArrowheads="1"/>
        </xdr:cNvSpPr>
      </xdr:nvSpPr>
      <xdr:spPr>
        <a:xfrm>
          <a:off x="619125" y="4857750"/>
          <a:ext cx="7915275"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Measure your line voltage. After adjusting the line voltage adjustment to hit the center mark of the meter, check the voltage indicated by the knob as marked on the panel. It should be within 3% of the actual line voltage with no tube installed. This was never quite satisfactory in my unit due to transformer tolerances or possibly gremlins of some sort. You can also set the knob for your measured line voltage and just adjust the internal line calibration to hit the center mark on the meter. If you do it this way, set a filament voltage of 117 VAC and check it at a tube socket to be sure you're not too far off. </a:t>
          </a:r>
        </a:p>
      </xdr:txBody>
    </xdr:sp>
    <xdr:clientData/>
  </xdr:twoCellAnchor>
  <xdr:twoCellAnchor>
    <xdr:from>
      <xdr:col>0</xdr:col>
      <xdr:colOff>600075</xdr:colOff>
      <xdr:row>9</xdr:row>
      <xdr:rowOff>0</xdr:rowOff>
    </xdr:from>
    <xdr:to>
      <xdr:col>14</xdr:col>
      <xdr:colOff>9525</xdr:colOff>
      <xdr:row>22</xdr:row>
      <xdr:rowOff>9525</xdr:rowOff>
    </xdr:to>
    <xdr:sp>
      <xdr:nvSpPr>
        <xdr:cNvPr id="5" name="TextBox 5"/>
        <xdr:cNvSpPr txBox="1">
          <a:spLocks noChangeArrowheads="1"/>
        </xdr:cNvSpPr>
      </xdr:nvSpPr>
      <xdr:spPr>
        <a:xfrm>
          <a:off x="600075" y="1457325"/>
          <a:ext cx="7943850" cy="2114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 need the panel knobs properly oriented before doing anything else. The Grid knob contains a switch. The knob should switch cleanly across the black area, resting at zero or starting smooth travel on the pot at 7.
The AC knob should switch off at "off".
The Plate knob I'm not completely sure about. Since it hits minimum resistance value at 100%, it seems reasonable to set the knob to hit the stop at 100% and let it over travel to below zero. The pot values are usually a bit high, so it should be at the desired 3 KΩ near zero and any error will be small. Many Plate knobs are probably set to stop at zero so there will be a difference of about 5 units in the settings. If you set your Plate knob to stop at 0%, you need to add 5 units to my plate settings. The difference in results will usually be very small.
Another approach would be to set the knob such that the pot resistance is exactly 3 KΩ with the knob pointing at zero. The uncertainty of knob position should reinforce the fact that these settings are not extremely precise.</a:t>
          </a:r>
        </a:p>
      </xdr:txBody>
    </xdr:sp>
    <xdr:clientData/>
  </xdr:twoCellAnchor>
  <xdr:twoCellAnchor>
    <xdr:from>
      <xdr:col>1</xdr:col>
      <xdr:colOff>9525</xdr:colOff>
      <xdr:row>46</xdr:row>
      <xdr:rowOff>9525</xdr:rowOff>
    </xdr:from>
    <xdr:to>
      <xdr:col>14</xdr:col>
      <xdr:colOff>0</xdr:colOff>
      <xdr:row>52</xdr:row>
      <xdr:rowOff>142875</xdr:rowOff>
    </xdr:to>
    <xdr:sp>
      <xdr:nvSpPr>
        <xdr:cNvPr id="6" name="TextBox 6"/>
        <xdr:cNvSpPr txBox="1">
          <a:spLocks noChangeArrowheads="1"/>
        </xdr:cNvSpPr>
      </xdr:nvSpPr>
      <xdr:spPr>
        <a:xfrm>
          <a:off x="619125" y="7458075"/>
          <a:ext cx="7915275" cy="1104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1" u="none" baseline="0">
              <a:latin typeface="Arial"/>
              <a:ea typeface="Arial"/>
              <a:cs typeface="Arial"/>
            </a:rPr>
            <a:t>Finally, remember that nothing about tube testing and tube testers is highly precise! Use judgment in interpreting the readings and think about the test conditions vs. the operating conditions.
</a:t>
          </a:r>
          <a:r>
            <a:rPr lang="en-US" cap="none" sz="1200" b="0" i="0" u="none" baseline="0">
              <a:latin typeface="Arial"/>
              <a:ea typeface="Arial"/>
              <a:cs typeface="Arial"/>
            </a:rPr>
            <a:t>
</a:t>
          </a:r>
          <a:r>
            <a:rPr lang="en-US" cap="none" sz="900" b="0" i="0" u="none" baseline="0">
              <a:latin typeface="Arial"/>
              <a:ea typeface="Arial"/>
              <a:cs typeface="Arial"/>
            </a:rPr>
            <a:t>(If that seems contradictory to all the calculations in this spreadsheet it's because even though tubes and conditions are variable, I have little tolerance for test equipment that doesn't report results accurately.)</a:t>
          </a:r>
          <a:r>
            <a:rPr lang="en-US" cap="none" sz="10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9525</xdr:colOff>
      <xdr:row>37</xdr:row>
      <xdr:rowOff>9525</xdr:rowOff>
    </xdr:from>
    <xdr:to>
      <xdr:col>13</xdr:col>
      <xdr:colOff>600075</xdr:colOff>
      <xdr:row>45</xdr:row>
      <xdr:rowOff>28575</xdr:rowOff>
    </xdr:to>
    <xdr:sp>
      <xdr:nvSpPr>
        <xdr:cNvPr id="7" name="TextBox 7"/>
        <xdr:cNvSpPr txBox="1">
          <a:spLocks noChangeArrowheads="1"/>
        </xdr:cNvSpPr>
      </xdr:nvSpPr>
      <xdr:spPr>
        <a:xfrm>
          <a:off x="619125" y="6000750"/>
          <a:ext cx="7905750"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 may want to install meter protection diodes, as the meter is quite fragile. Follow the meter leads to the associated rotary switch and carefully install a pair of regular silicon diodes, like 1N4001, in parallel, with opposite polarities, across the meter leads. My unit had a convenient and unused 2-terminal strip on the transformer bracket to hold the diodes, but they can also be freely wired across the switch terminals. Don't get solder into the switch.
NEVER attempt to measure the meter resistance directly! Even with a low voltage DVM you risk destroying the meter. If you have to check it, put about 3 K</a:t>
          </a:r>
          <a:r>
            <a:rPr lang="en-US" cap="none" sz="1000" b="0" i="0" u="none" baseline="0">
              <a:latin typeface="Arial"/>
              <a:ea typeface="Arial"/>
              <a:cs typeface="Arial"/>
            </a:rPr>
            <a:t>Ω</a:t>
          </a:r>
          <a:r>
            <a:rPr lang="en-US" cap="none" sz="1000" b="0" i="0" u="none" baseline="0">
              <a:latin typeface="Arial"/>
              <a:ea typeface="Arial"/>
              <a:cs typeface="Arial"/>
            </a:rPr>
            <a:t> of resistance in one meter lead of a low voltage DVM. Measure through that, looking for the sum of 4 KΩ.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13</xdr:col>
      <xdr:colOff>600075</xdr:colOff>
      <xdr:row>3</xdr:row>
      <xdr:rowOff>0</xdr:rowOff>
    </xdr:to>
    <xdr:sp>
      <xdr:nvSpPr>
        <xdr:cNvPr id="1" name="TextBox 1"/>
        <xdr:cNvSpPr txBox="1">
          <a:spLocks noChangeArrowheads="1"/>
        </xdr:cNvSpPr>
      </xdr:nvSpPr>
      <xdr:spPr>
        <a:xfrm>
          <a:off x="609600" y="171450"/>
          <a:ext cx="8353425" cy="314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An Investigation of Current Measurement Accuracy</a:t>
          </a:r>
        </a:p>
      </xdr:txBody>
    </xdr:sp>
    <xdr:clientData/>
  </xdr:twoCellAnchor>
  <xdr:twoCellAnchor>
    <xdr:from>
      <xdr:col>1</xdr:col>
      <xdr:colOff>0</xdr:colOff>
      <xdr:row>4</xdr:row>
      <xdr:rowOff>9525</xdr:rowOff>
    </xdr:from>
    <xdr:to>
      <xdr:col>14</xdr:col>
      <xdr:colOff>0</xdr:colOff>
      <xdr:row>10</xdr:row>
      <xdr:rowOff>9525</xdr:rowOff>
    </xdr:to>
    <xdr:sp>
      <xdr:nvSpPr>
        <xdr:cNvPr id="2" name="TextBox 2"/>
        <xdr:cNvSpPr txBox="1">
          <a:spLocks noChangeArrowheads="1"/>
        </xdr:cNvSpPr>
      </xdr:nvSpPr>
      <xdr:spPr>
        <a:xfrm>
          <a:off x="609600" y="657225"/>
          <a:ext cx="83629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My 667 didn't seem very accurate in terms of voltage and current, even though every passive component is way better than specification. Since the manual implies good precision of current measurement, and the knob settings are given to 1%, this lead me to analyze the meter circuit in a bit more detail. The divider consists of a current shunt controlled by the "S" lever. The meter is across the shunt, with a variable resistance in series, the Plate knob, to fine tune the sensitivity. The meter is a 200 uA (f.s.) 1000 </a:t>
          </a:r>
          <a:r>
            <a:rPr lang="en-US" cap="none" sz="1000" b="0" i="0" u="none" baseline="0">
              <a:latin typeface="Arial"/>
              <a:ea typeface="Arial"/>
              <a:cs typeface="Arial"/>
            </a:rPr>
            <a:t>Ω</a:t>
          </a:r>
          <a:r>
            <a:rPr lang="en-US" cap="none" sz="1000" b="0" i="0" u="none" baseline="0">
              <a:latin typeface="Arial"/>
              <a:ea typeface="Arial"/>
              <a:cs typeface="Arial"/>
            </a:rPr>
            <a:t> device. Following my usual convention, user entry is in red, formulas are in blue. Don't change blue numbers! Naturally you've downloaded a schematic for the tester, or this stuff won't make any sense at all.
</a:t>
          </a:r>
        </a:p>
      </xdr:txBody>
    </xdr:sp>
    <xdr:clientData/>
  </xdr:twoCellAnchor>
  <xdr:twoCellAnchor>
    <xdr:from>
      <xdr:col>1</xdr:col>
      <xdr:colOff>0</xdr:colOff>
      <xdr:row>30</xdr:row>
      <xdr:rowOff>9525</xdr:rowOff>
    </xdr:from>
    <xdr:to>
      <xdr:col>14</xdr:col>
      <xdr:colOff>0</xdr:colOff>
      <xdr:row>69</xdr:row>
      <xdr:rowOff>9525</xdr:rowOff>
    </xdr:to>
    <xdr:sp>
      <xdr:nvSpPr>
        <xdr:cNvPr id="3" name="TextBox 5"/>
        <xdr:cNvSpPr txBox="1">
          <a:spLocks noChangeArrowheads="1"/>
        </xdr:cNvSpPr>
      </xdr:nvSpPr>
      <xdr:spPr>
        <a:xfrm>
          <a:off x="609600" y="4867275"/>
          <a:ext cx="8362950" cy="631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Now we're getting somewhere! If you look at the numbers above, with a waveform factor of 1, and changing the Plate knob (Rpot) from 3000 to 0 ohms, you can see that they designed the meter and shunt system perfectly… for DC!
This, however, is an AC system, with the transformer test voltages half wave rectified by the tube being tested, and making a current measurement with that waveform isn't straightforward. Just making a conventional RMS measurement across a resistor will not give you the correct answer. I got tripped up by this with my first measurements because what you need is a true RMS + DC measurement. Most "true RMS" meters actually measure AC coupled RMS, which only works with signals that sum to zero. The cure is to make both an AC and DC measurement and then take the root of the sum of the squares, or use one of the few meters that includes a proper true RMS + DC mode. (None of this affects the usual practice of setting the DC bias on amplifier tubes by inserting a resistor.)
Having what I think is a correct understanding of things, I made a tube adapter containing a 1</a:t>
          </a:r>
          <a:r>
            <a:rPr lang="en-US" cap="none" sz="1000" b="0" i="0" u="none" baseline="0">
              <a:latin typeface="Arial"/>
              <a:ea typeface="Arial"/>
              <a:cs typeface="Arial"/>
            </a:rPr>
            <a:t>Ω</a:t>
          </a:r>
          <a:r>
            <a:rPr lang="en-US" cap="none" sz="1000" b="0" i="0" u="none" baseline="0">
              <a:latin typeface="Arial"/>
              <a:ea typeface="Arial"/>
              <a:cs typeface="Arial"/>
            </a:rPr>
            <a:t> resistor in the plate lead so I could measure test current and compare it with the published values. Switching my trusty HP3455A meter to AC+DC and installing a much abused KT66 in the adapter, I got the following:
10.0 mA indicated = 16.25 mA actual: error factor = 1.625 (this is stretching the accuracy limits of the HP3455A due to the low signal level)
20.5 mA indicated = 33 mA actual: error factor = 1.61
40.0 mA indicated = 63.5 mA actual: error factor = 1.59
This agrees almost exactly with some earlier measurements I made on various mechanical meter movements. Go ahead and enter 0.625 (1/1.6) into the waveform cell above and you can see exactly what the 666/667 meter circuit does. I could have missed something, but my 667 appears to do exactly what the circuit design says it should do.
</a:t>
          </a:r>
          <a:r>
            <a:rPr lang="en-US" cap="none" sz="1200" b="1" i="1" u="none" baseline="0">
              <a:latin typeface="Arial"/>
              <a:ea typeface="Arial"/>
              <a:cs typeface="Arial"/>
            </a:rPr>
            <a:t>What to do with the current values?</a:t>
          </a:r>
          <a:r>
            <a:rPr lang="en-US" cap="none" sz="1000" b="0" i="0" u="none" baseline="0">
              <a:latin typeface="Arial"/>
              <a:ea typeface="Arial"/>
              <a:cs typeface="Arial"/>
            </a:rPr>
            <a:t>
To retain compatibility with the charts it doesn't make sense to modify the tester. The ranges are entirely arbitrary anyway. The solution is to simply choose your tube test currents and include a 0.625X factor, then create your own chart for the tubes you use most. I have done that with the New Settings page in this spreadsheet. As an example, if you want a test current of 20 mA, start with 12.5 mA (0.625X) and look up the settings- "s" lever at position 2, Plate knob at 91.5, and that will get you very close to 20 mA. Or, just let my New Settings page do it automagically!
</a:t>
          </a:r>
          <a:r>
            <a:rPr lang="en-US" cap="none" sz="1200" b="1" i="1" u="none" baseline="0">
              <a:latin typeface="Arial"/>
              <a:ea typeface="Arial"/>
              <a:cs typeface="Arial"/>
            </a:rPr>
            <a:t>Update-</a:t>
          </a:r>
          <a:r>
            <a:rPr lang="en-US" cap="none" sz="1000" b="0" i="0" u="none" baseline="0">
              <a:latin typeface="Arial"/>
              <a:ea typeface="Arial"/>
              <a:cs typeface="Arial"/>
            </a:rPr>
            <a:t>
The chart has been updated with new correction factors, somewhat different than above, based on VAW meter measurements. See the next tab for more details.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5</xdr:row>
      <xdr:rowOff>9525</xdr:rowOff>
    </xdr:to>
    <xdr:sp>
      <xdr:nvSpPr>
        <xdr:cNvPr id="1" name="TextBox 1"/>
        <xdr:cNvSpPr txBox="1">
          <a:spLocks noChangeArrowheads="1"/>
        </xdr:cNvSpPr>
      </xdr:nvSpPr>
      <xdr:spPr>
        <a:xfrm>
          <a:off x="609600" y="161925"/>
          <a:ext cx="792480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Calculating Plate Dissipation
</a:t>
          </a:r>
          <a:r>
            <a:rPr lang="en-US" cap="none" sz="1400" b="1" i="1" u="none" baseline="0">
              <a:solidFill>
                <a:srgbClr val="993300"/>
              </a:solidFill>
              <a:latin typeface="Arial"/>
              <a:ea typeface="Arial"/>
              <a:cs typeface="Arial"/>
            </a:rPr>
            <a:t>New Info- 10/5/2015</a:t>
          </a:r>
        </a:p>
      </xdr:txBody>
    </xdr:sp>
    <xdr:clientData/>
  </xdr:twoCellAnchor>
  <xdr:twoCellAnchor>
    <xdr:from>
      <xdr:col>1</xdr:col>
      <xdr:colOff>9525</xdr:colOff>
      <xdr:row>7</xdr:row>
      <xdr:rowOff>0</xdr:rowOff>
    </xdr:from>
    <xdr:to>
      <xdr:col>14</xdr:col>
      <xdr:colOff>9525</xdr:colOff>
      <xdr:row>13</xdr:row>
      <xdr:rowOff>152400</xdr:rowOff>
    </xdr:to>
    <xdr:sp>
      <xdr:nvSpPr>
        <xdr:cNvPr id="2" name="TextBox 2"/>
        <xdr:cNvSpPr txBox="1">
          <a:spLocks noChangeArrowheads="1"/>
        </xdr:cNvSpPr>
      </xdr:nvSpPr>
      <xdr:spPr>
        <a:xfrm>
          <a:off x="619125" y="1133475"/>
          <a:ext cx="7924800"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Power is simply current times voltage, but once again the use of completely AC test system provides pitfalls for the unwary. In the previous pages we've gone to great trouble to get an accurate current reading. One's first thought might be to multiply that current reading by the applied RMS voltage, but consider that current only flows during the positive half of the sine wave. The tube is blocking current flow during the negative half of the sine wave. The RMS value of a sine wave gives the equivalent heating effect on a resistor as the same value of applied DC voltage. The positive half and negative half of the waveform both deliver the same power to the resistor. In our case, only half the waveform delivers power to the plate; the other half is blocked. Thus, should we use 1/2 the RMS value of the applied voltage? Not so fast...</a:t>
          </a:r>
        </a:p>
      </xdr:txBody>
    </xdr:sp>
    <xdr:clientData/>
  </xdr:twoCellAnchor>
  <xdr:twoCellAnchor>
    <xdr:from>
      <xdr:col>1</xdr:col>
      <xdr:colOff>0</xdr:colOff>
      <xdr:row>16</xdr:row>
      <xdr:rowOff>0</xdr:rowOff>
    </xdr:from>
    <xdr:to>
      <xdr:col>13</xdr:col>
      <xdr:colOff>600075</xdr:colOff>
      <xdr:row>35</xdr:row>
      <xdr:rowOff>142875</xdr:rowOff>
    </xdr:to>
    <xdr:sp>
      <xdr:nvSpPr>
        <xdr:cNvPr id="3" name="TextBox 3"/>
        <xdr:cNvSpPr txBox="1">
          <a:spLocks noChangeArrowheads="1"/>
        </xdr:cNvSpPr>
      </xdr:nvSpPr>
      <xdr:spPr>
        <a:xfrm>
          <a:off x="609600" y="2590800"/>
          <a:ext cx="7915275" cy="3219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On the surface, using the above method seems like it should give a reasonably accurate answer. Unfortunately, it underestimates the plate dissipation by a considerable amount. Not only does the tester apply an AC waveform to the plate, it also applies an AC waveform to the control grid. That means the effective resistance of the load is changing during the cycle. The result is that a power factor is needed. My thanks to Jim Van Dyke for checking the equations, pointing this out and providing the correct method.
The correct method, which can be done manually, semi-manually or with a dedicated VAW (volt-amp-watt) meter, is to calculate the power,  based on voltage and current, in real time. This can be done using two analog paths and a multiplier, or by digitizing the channels and handling it in software. Jim did it from scope photos and "digitizing" the waveforms to Excel. I later confirmed the numbers using an old Clarke-Hess 255 VAW meter. Another way to do it is with a digital scope having built in math functions.
As an example, using a long suffering KT66 I keep for just such tests, and using the EICO chart setup, the current was 39.38 mA. The applied voltage was 102 VAC. Using half the waveform, 51, times 0.03938 gives us 2.0 watts of plate dissipation. The wattmeter, however, gives us the true value of 2.72 watts, give or take whatever calibration errors may be present.
The ratio, in this case, is 1.36. Since the waveforms of the tester will generally be similar for different ranges, and lacking a better method, the set-up chart will now use additional correction factors to improve plate dissipation accuracy. Though hopefully close, the power numbers, in fact, any of the numbers, should not be taken as the last word on the matter. Note that my settings page uses the voltages from my unit. You may wish to measure the voltages for the ranges and use the actual numbers, but that will require new correction factors.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120"/>
  <sheetViews>
    <sheetView zoomScale="75" zoomScaleNormal="75" workbookViewId="0" topLeftCell="A1">
      <selection activeCell="A1" sqref="A1"/>
    </sheetView>
  </sheetViews>
  <sheetFormatPr defaultColWidth="9.140625" defaultRowHeight="12.75"/>
  <cols>
    <col min="1" max="1" width="9.7109375" style="0" customWidth="1"/>
    <col min="7" max="7" width="6.8515625" style="0" customWidth="1"/>
    <col min="8" max="8" width="7.00390625" style="0" customWidth="1"/>
    <col min="9" max="9" width="10.140625" style="0" customWidth="1"/>
    <col min="11" max="12" width="7.28125" style="0" customWidth="1"/>
    <col min="13" max="14" width="7.7109375" style="0" customWidth="1"/>
    <col min="15" max="15" width="10.28125" style="0" customWidth="1"/>
    <col min="16" max="16" width="27.421875" style="0" customWidth="1"/>
  </cols>
  <sheetData>
    <row r="1" ht="15">
      <c r="A1" s="1"/>
    </row>
    <row r="2" spans="1:14" ht="15">
      <c r="A2" s="1"/>
      <c r="M2" s="38" t="s">
        <v>140</v>
      </c>
      <c r="N2" s="38">
        <v>1.921</v>
      </c>
    </row>
    <row r="3" spans="1:14" ht="15">
      <c r="A3" s="1"/>
      <c r="M3" s="38" t="s">
        <v>143</v>
      </c>
      <c r="N3" s="38">
        <v>1.93</v>
      </c>
    </row>
    <row r="4" spans="1:14" ht="15">
      <c r="A4" s="1"/>
      <c r="M4" s="38" t="s">
        <v>141</v>
      </c>
      <c r="N4" s="38">
        <v>0.677</v>
      </c>
    </row>
    <row r="5" spans="1:14" ht="15">
      <c r="A5" s="1"/>
      <c r="M5" s="38" t="s">
        <v>142</v>
      </c>
      <c r="N5" s="38">
        <v>0.85</v>
      </c>
    </row>
    <row r="6" spans="1:14" ht="15">
      <c r="A6" s="1"/>
      <c r="M6" s="38" t="s">
        <v>87</v>
      </c>
      <c r="N6" s="38">
        <v>53</v>
      </c>
    </row>
    <row r="7" spans="1:14" ht="15">
      <c r="A7" s="1"/>
      <c r="M7" s="38" t="s">
        <v>88</v>
      </c>
      <c r="N7" s="38">
        <v>102</v>
      </c>
    </row>
    <row r="8" spans="1:14" ht="15">
      <c r="A8" s="1"/>
      <c r="M8" s="38" t="s">
        <v>89</v>
      </c>
      <c r="N8" s="38">
        <v>200</v>
      </c>
    </row>
    <row r="9" spans="1:14" ht="15">
      <c r="A9" s="1"/>
      <c r="M9" s="38" t="s">
        <v>90</v>
      </c>
      <c r="N9" s="38">
        <v>200</v>
      </c>
    </row>
    <row r="10" ht="13.5" thickBot="1"/>
    <row r="11" spans="1:16" ht="39" thickBot="1">
      <c r="A11" s="16" t="s">
        <v>0</v>
      </c>
      <c r="B11" s="17" t="s">
        <v>1</v>
      </c>
      <c r="C11" s="17" t="s">
        <v>2</v>
      </c>
      <c r="D11" s="17" t="s">
        <v>3</v>
      </c>
      <c r="E11" s="17" t="s">
        <v>4</v>
      </c>
      <c r="F11" s="17" t="s">
        <v>5</v>
      </c>
      <c r="G11" s="17" t="s">
        <v>6</v>
      </c>
      <c r="H11" s="17" t="s">
        <v>7</v>
      </c>
      <c r="I11" s="17" t="s">
        <v>8</v>
      </c>
      <c r="J11" s="17" t="s">
        <v>9</v>
      </c>
      <c r="K11" s="17" t="s">
        <v>81</v>
      </c>
      <c r="L11" s="18" t="s">
        <v>95</v>
      </c>
      <c r="M11" s="29" t="s">
        <v>82</v>
      </c>
      <c r="N11" s="18" t="s">
        <v>94</v>
      </c>
      <c r="O11" s="18" t="s">
        <v>83</v>
      </c>
      <c r="P11" s="19" t="s">
        <v>84</v>
      </c>
    </row>
    <row r="12" spans="1:16" ht="13.5" thickBot="1">
      <c r="A12" s="39"/>
      <c r="B12" s="40"/>
      <c r="C12" s="40"/>
      <c r="D12" s="40"/>
      <c r="E12" s="40"/>
      <c r="F12" s="40"/>
      <c r="G12" s="40"/>
      <c r="H12" s="40"/>
      <c r="I12" s="40"/>
      <c r="J12" s="40"/>
      <c r="K12" s="41"/>
      <c r="L12" s="41"/>
      <c r="M12" s="42"/>
      <c r="N12" s="41"/>
      <c r="O12" s="40"/>
      <c r="P12" s="43"/>
    </row>
    <row r="13" spans="1:16" ht="12.75">
      <c r="A13" s="60" t="s">
        <v>21</v>
      </c>
      <c r="B13" s="61">
        <v>12.6</v>
      </c>
      <c r="C13" s="62">
        <v>18</v>
      </c>
      <c r="D13" s="61">
        <v>64</v>
      </c>
      <c r="E13" s="61">
        <v>4511266</v>
      </c>
      <c r="F13" s="61">
        <v>661111</v>
      </c>
      <c r="G13" s="61">
        <v>1</v>
      </c>
      <c r="H13" s="61">
        <v>5</v>
      </c>
      <c r="I13" s="63" t="s">
        <v>12</v>
      </c>
      <c r="J13" s="61">
        <v>1</v>
      </c>
      <c r="K13" s="27">
        <f aca="true" t="shared" si="0" ref="K13:K40">((D13*IF(H13=1,-1.2,1)*IF(H13=2,-0.3,1)*IF(H13=3,-0.073,1)*IF(H13=4,-0.019,1)*IF(H13=5,-0.0047,1))+(IF(H13=1,160,1)*IF(H13=2,40,1)*IF(H13=3,10,1)*IF(H13=4,2.65,1)*IF(H13=5,0.77,1)))*$N$2</f>
        <v>0.9013332000000001</v>
      </c>
      <c r="L13" s="75">
        <f aca="true" t="shared" si="1" ref="L13:L40">$K13*(IF($G13=1,$N$6,1)*IF($G13=2,$N$7,1)*IF($G13=3,$N$8,1)*IF($G13=4,$N$9,1))*$N$4*0.001</f>
        <v>0.0323407365492</v>
      </c>
      <c r="M13" s="75">
        <f aca="true" t="shared" si="2" ref="M13:M40">$K13*$N$3</f>
        <v>1.739573076</v>
      </c>
      <c r="N13" s="75">
        <f aca="true" t="shared" si="3" ref="N13:N40">(IF($G13=1,$N$6,1)*IF($G13=2,$N$7,1)*IF($G13=3,$N$8,1)*IF($G13=4,$N$9,1)*1.655)*$M13*0.001*$N$5</f>
        <v>0.12969865450713902</v>
      </c>
      <c r="O13" s="64" t="s">
        <v>85</v>
      </c>
      <c r="P13" s="65" t="s">
        <v>86</v>
      </c>
    </row>
    <row r="14" spans="1:16" ht="13.5" thickBot="1">
      <c r="A14" s="23" t="s">
        <v>22</v>
      </c>
      <c r="B14" s="25">
        <v>12.6</v>
      </c>
      <c r="C14" s="66">
        <v>18</v>
      </c>
      <c r="D14" s="25">
        <v>64</v>
      </c>
      <c r="E14" s="25">
        <v>6661245</v>
      </c>
      <c r="F14" s="25">
        <v>161111</v>
      </c>
      <c r="G14" s="25">
        <v>1</v>
      </c>
      <c r="H14" s="25">
        <v>5</v>
      </c>
      <c r="I14" s="67" t="s">
        <v>13</v>
      </c>
      <c r="J14" s="25">
        <v>6</v>
      </c>
      <c r="K14" s="27">
        <f t="shared" si="0"/>
        <v>0.9013332000000001</v>
      </c>
      <c r="L14" s="75">
        <f t="shared" si="1"/>
        <v>0.0323407365492</v>
      </c>
      <c r="M14" s="75">
        <f t="shared" si="2"/>
        <v>1.739573076</v>
      </c>
      <c r="N14" s="75">
        <f t="shared" si="3"/>
        <v>0.12969865450713902</v>
      </c>
      <c r="O14" s="13" t="s">
        <v>85</v>
      </c>
      <c r="P14" s="14"/>
    </row>
    <row r="15" spans="1:16" ht="12.75">
      <c r="A15" s="60" t="s">
        <v>21</v>
      </c>
      <c r="B15" s="61">
        <v>12.6</v>
      </c>
      <c r="C15" s="62">
        <v>67</v>
      </c>
      <c r="D15" s="61">
        <v>35</v>
      </c>
      <c r="E15" s="61">
        <v>4511266</v>
      </c>
      <c r="F15" s="61">
        <v>661111</v>
      </c>
      <c r="G15" s="61">
        <v>1</v>
      </c>
      <c r="H15" s="61">
        <v>4</v>
      </c>
      <c r="I15" s="63" t="s">
        <v>12</v>
      </c>
      <c r="J15" s="61">
        <v>1</v>
      </c>
      <c r="K15" s="27">
        <f t="shared" si="0"/>
        <v>3.813185</v>
      </c>
      <c r="L15" s="75">
        <f t="shared" si="1"/>
        <v>0.136820890985</v>
      </c>
      <c r="M15" s="75">
        <f t="shared" si="2"/>
        <v>7.359447049999999</v>
      </c>
      <c r="N15" s="75">
        <f t="shared" si="3"/>
        <v>0.5487038132921374</v>
      </c>
      <c r="O15" s="64" t="s">
        <v>91</v>
      </c>
      <c r="P15" s="65"/>
    </row>
    <row r="16" spans="1:16" ht="13.5" thickBot="1">
      <c r="A16" s="23" t="s">
        <v>22</v>
      </c>
      <c r="B16" s="25">
        <v>12.6</v>
      </c>
      <c r="C16" s="66">
        <v>67</v>
      </c>
      <c r="D16" s="25">
        <v>35</v>
      </c>
      <c r="E16" s="25">
        <v>6661245</v>
      </c>
      <c r="F16" s="25">
        <v>161111</v>
      </c>
      <c r="G16" s="25">
        <v>1</v>
      </c>
      <c r="H16" s="25">
        <v>4</v>
      </c>
      <c r="I16" s="67" t="s">
        <v>13</v>
      </c>
      <c r="J16" s="25">
        <v>6</v>
      </c>
      <c r="K16" s="27">
        <f t="shared" si="0"/>
        <v>3.813185</v>
      </c>
      <c r="L16" s="75">
        <f t="shared" si="1"/>
        <v>0.136820890985</v>
      </c>
      <c r="M16" s="75">
        <f t="shared" si="2"/>
        <v>7.359447049999999</v>
      </c>
      <c r="N16" s="75">
        <f t="shared" si="3"/>
        <v>0.5487038132921374</v>
      </c>
      <c r="O16" s="13" t="s">
        <v>91</v>
      </c>
      <c r="P16" s="14"/>
    </row>
    <row r="17" spans="1:16" ht="12.75">
      <c r="A17" s="60" t="s">
        <v>21</v>
      </c>
      <c r="B17" s="61">
        <v>12.6</v>
      </c>
      <c r="C17" s="62">
        <v>35</v>
      </c>
      <c r="D17" s="61">
        <v>88</v>
      </c>
      <c r="E17" s="61">
        <v>4511266</v>
      </c>
      <c r="F17" s="61">
        <v>661111</v>
      </c>
      <c r="G17" s="61">
        <v>2</v>
      </c>
      <c r="H17" s="61">
        <v>3</v>
      </c>
      <c r="I17" s="63" t="s">
        <v>12</v>
      </c>
      <c r="J17" s="61">
        <v>1</v>
      </c>
      <c r="K17" s="27">
        <f t="shared" si="0"/>
        <v>6.869496000000001</v>
      </c>
      <c r="L17" s="75">
        <f t="shared" si="1"/>
        <v>0.4743661767840001</v>
      </c>
      <c r="M17" s="75">
        <f t="shared" si="2"/>
        <v>13.25812728</v>
      </c>
      <c r="N17" s="75">
        <f t="shared" si="3"/>
        <v>1.90238879621628</v>
      </c>
      <c r="O17" s="64" t="s">
        <v>98</v>
      </c>
      <c r="P17" s="65" t="s">
        <v>99</v>
      </c>
    </row>
    <row r="18" spans="1:16" ht="13.5" thickBot="1">
      <c r="A18" s="23" t="s">
        <v>22</v>
      </c>
      <c r="B18" s="25">
        <v>12.6</v>
      </c>
      <c r="C18" s="66">
        <v>35</v>
      </c>
      <c r="D18" s="25">
        <v>88</v>
      </c>
      <c r="E18" s="25">
        <v>6661245</v>
      </c>
      <c r="F18" s="25">
        <v>161111</v>
      </c>
      <c r="G18" s="25">
        <v>2</v>
      </c>
      <c r="H18" s="25">
        <v>3</v>
      </c>
      <c r="I18" s="67" t="s">
        <v>13</v>
      </c>
      <c r="J18" s="25">
        <v>6</v>
      </c>
      <c r="K18" s="27">
        <f t="shared" si="0"/>
        <v>6.869496000000001</v>
      </c>
      <c r="L18" s="75">
        <f t="shared" si="1"/>
        <v>0.4743661767840001</v>
      </c>
      <c r="M18" s="75">
        <f t="shared" si="2"/>
        <v>13.25812728</v>
      </c>
      <c r="N18" s="75">
        <f t="shared" si="3"/>
        <v>1.90238879621628</v>
      </c>
      <c r="O18" s="13" t="s">
        <v>98</v>
      </c>
      <c r="P18" s="14"/>
    </row>
    <row r="19" spans="1:16" ht="12.75">
      <c r="A19" s="60" t="s">
        <v>21</v>
      </c>
      <c r="B19" s="61">
        <v>12.6</v>
      </c>
      <c r="C19" s="62">
        <v>32</v>
      </c>
      <c r="D19" s="61">
        <v>94</v>
      </c>
      <c r="E19" s="61">
        <v>4511266</v>
      </c>
      <c r="F19" s="61">
        <v>661111</v>
      </c>
      <c r="G19" s="61">
        <v>2</v>
      </c>
      <c r="H19" s="61">
        <v>3</v>
      </c>
      <c r="I19" s="63" t="s">
        <v>12</v>
      </c>
      <c r="J19" s="61">
        <v>1</v>
      </c>
      <c r="K19" s="27">
        <f t="shared" si="0"/>
        <v>6.028098000000002</v>
      </c>
      <c r="L19" s="75">
        <f t="shared" si="1"/>
        <v>0.4162642792920002</v>
      </c>
      <c r="M19" s="75">
        <f t="shared" si="2"/>
        <v>11.634229140000002</v>
      </c>
      <c r="N19" s="75">
        <f t="shared" si="3"/>
        <v>1.6693780879548903</v>
      </c>
      <c r="O19" s="64" t="s">
        <v>85</v>
      </c>
      <c r="P19" s="65" t="s">
        <v>100</v>
      </c>
    </row>
    <row r="20" spans="1:16" ht="13.5" thickBot="1">
      <c r="A20" s="23" t="s">
        <v>22</v>
      </c>
      <c r="B20" s="25">
        <v>12.6</v>
      </c>
      <c r="C20" s="66">
        <v>32</v>
      </c>
      <c r="D20" s="25">
        <v>94</v>
      </c>
      <c r="E20" s="25">
        <v>6661245</v>
      </c>
      <c r="F20" s="25">
        <v>161111</v>
      </c>
      <c r="G20" s="25">
        <v>2</v>
      </c>
      <c r="H20" s="25">
        <v>3</v>
      </c>
      <c r="I20" s="67" t="s">
        <v>13</v>
      </c>
      <c r="J20" s="25">
        <v>6</v>
      </c>
      <c r="K20" s="27">
        <f t="shared" si="0"/>
        <v>6.028098000000002</v>
      </c>
      <c r="L20" s="75">
        <f t="shared" si="1"/>
        <v>0.4162642792920002</v>
      </c>
      <c r="M20" s="75">
        <f t="shared" si="2"/>
        <v>11.634229140000002</v>
      </c>
      <c r="N20" s="75">
        <f t="shared" si="3"/>
        <v>1.6693780879548903</v>
      </c>
      <c r="O20" s="13" t="s">
        <v>85</v>
      </c>
      <c r="P20" s="14"/>
    </row>
    <row r="21" spans="1:16" ht="12.75">
      <c r="A21" s="60" t="s">
        <v>23</v>
      </c>
      <c r="B21" s="61">
        <v>12.6</v>
      </c>
      <c r="C21" s="62">
        <v>20</v>
      </c>
      <c r="D21" s="61">
        <v>18</v>
      </c>
      <c r="E21" s="61">
        <v>4511266</v>
      </c>
      <c r="F21" s="61">
        <v>661111</v>
      </c>
      <c r="G21" s="61">
        <v>1</v>
      </c>
      <c r="H21" s="61">
        <v>4</v>
      </c>
      <c r="I21" s="63" t="s">
        <v>12</v>
      </c>
      <c r="J21" s="61">
        <v>1</v>
      </c>
      <c r="K21" s="27">
        <f t="shared" si="0"/>
        <v>4.433668</v>
      </c>
      <c r="L21" s="75">
        <f t="shared" si="1"/>
        <v>0.159084441508</v>
      </c>
      <c r="M21" s="75">
        <f t="shared" si="2"/>
        <v>8.55697924</v>
      </c>
      <c r="N21" s="75">
        <f t="shared" si="3"/>
        <v>0.6379891189311101</v>
      </c>
      <c r="O21" s="64" t="s">
        <v>85</v>
      </c>
      <c r="P21" s="65" t="s">
        <v>97</v>
      </c>
    </row>
    <row r="22" spans="1:16" ht="13.5" thickBot="1">
      <c r="A22" s="23" t="s">
        <v>24</v>
      </c>
      <c r="B22" s="25">
        <v>12.6</v>
      </c>
      <c r="C22" s="66">
        <v>20</v>
      </c>
      <c r="D22" s="25">
        <v>18</v>
      </c>
      <c r="E22" s="25">
        <v>6661245</v>
      </c>
      <c r="F22" s="25">
        <v>161111</v>
      </c>
      <c r="G22" s="25">
        <v>1</v>
      </c>
      <c r="H22" s="25">
        <v>4</v>
      </c>
      <c r="I22" s="67" t="s">
        <v>13</v>
      </c>
      <c r="J22" s="25">
        <v>6</v>
      </c>
      <c r="K22" s="27">
        <f t="shared" si="0"/>
        <v>4.433668</v>
      </c>
      <c r="L22" s="75">
        <f t="shared" si="1"/>
        <v>0.159084441508</v>
      </c>
      <c r="M22" s="75">
        <f t="shared" si="2"/>
        <v>8.55697924</v>
      </c>
      <c r="N22" s="75">
        <f t="shared" si="3"/>
        <v>0.6379891189311101</v>
      </c>
      <c r="O22" s="13" t="s">
        <v>85</v>
      </c>
      <c r="P22" s="14"/>
    </row>
    <row r="23" spans="1:16" ht="12.75">
      <c r="A23" s="60" t="s">
        <v>25</v>
      </c>
      <c r="B23" s="61">
        <v>12.6</v>
      </c>
      <c r="C23" s="62">
        <v>35</v>
      </c>
      <c r="D23" s="61">
        <v>36</v>
      </c>
      <c r="E23" s="61">
        <v>4512111</v>
      </c>
      <c r="F23" s="61">
        <v>161111</v>
      </c>
      <c r="G23" s="61">
        <v>2</v>
      </c>
      <c r="H23" s="61">
        <v>3</v>
      </c>
      <c r="I23" s="63" t="s">
        <v>12</v>
      </c>
      <c r="J23" s="61">
        <v>1</v>
      </c>
      <c r="K23" s="27">
        <f t="shared" si="0"/>
        <v>14.161612</v>
      </c>
      <c r="L23" s="75">
        <f t="shared" si="1"/>
        <v>0.9779159550480001</v>
      </c>
      <c r="M23" s="75">
        <f t="shared" si="2"/>
        <v>27.331911159999997</v>
      </c>
      <c r="N23" s="75">
        <f t="shared" si="3"/>
        <v>3.9218149344816595</v>
      </c>
      <c r="O23" s="64" t="s">
        <v>85</v>
      </c>
      <c r="P23" s="65" t="s">
        <v>96</v>
      </c>
    </row>
    <row r="24" spans="1:16" ht="13.5" thickBot="1">
      <c r="A24" s="23" t="s">
        <v>26</v>
      </c>
      <c r="B24" s="25">
        <v>12.6</v>
      </c>
      <c r="C24" s="66">
        <v>35</v>
      </c>
      <c r="D24" s="25">
        <v>36</v>
      </c>
      <c r="E24" s="25">
        <v>1112145</v>
      </c>
      <c r="F24" s="25">
        <v>161111</v>
      </c>
      <c r="G24" s="25">
        <v>2</v>
      </c>
      <c r="H24" s="25">
        <v>3</v>
      </c>
      <c r="I24" s="67" t="s">
        <v>13</v>
      </c>
      <c r="J24" s="25">
        <v>6</v>
      </c>
      <c r="K24" s="27">
        <f t="shared" si="0"/>
        <v>14.161612</v>
      </c>
      <c r="L24" s="75">
        <f t="shared" si="1"/>
        <v>0.9779159550480001</v>
      </c>
      <c r="M24" s="75">
        <f t="shared" si="2"/>
        <v>27.331911159999997</v>
      </c>
      <c r="N24" s="75">
        <f t="shared" si="3"/>
        <v>3.9218149344816595</v>
      </c>
      <c r="O24" s="13" t="s">
        <v>85</v>
      </c>
      <c r="P24" s="14"/>
    </row>
    <row r="25" spans="1:16" ht="12.75">
      <c r="A25" s="60" t="s">
        <v>34</v>
      </c>
      <c r="B25" s="61">
        <v>12.6</v>
      </c>
      <c r="C25" s="62">
        <v>65</v>
      </c>
      <c r="D25" s="61">
        <v>60</v>
      </c>
      <c r="E25" s="61">
        <v>4512111</v>
      </c>
      <c r="F25" s="61">
        <v>161111</v>
      </c>
      <c r="G25" s="61">
        <v>1</v>
      </c>
      <c r="H25" s="61">
        <v>3</v>
      </c>
      <c r="I25" s="63" t="s">
        <v>12</v>
      </c>
      <c r="J25" s="61">
        <v>1</v>
      </c>
      <c r="K25" s="27">
        <f t="shared" si="0"/>
        <v>10.79602</v>
      </c>
      <c r="L25" s="75">
        <f t="shared" si="1"/>
        <v>0.3873719936200001</v>
      </c>
      <c r="M25" s="75">
        <f t="shared" si="2"/>
        <v>20.8363186</v>
      </c>
      <c r="N25" s="75">
        <f t="shared" si="3"/>
        <v>1.5535090330991501</v>
      </c>
      <c r="O25" s="64" t="s">
        <v>85</v>
      </c>
      <c r="P25" s="65" t="s">
        <v>97</v>
      </c>
    </row>
    <row r="26" spans="1:16" ht="13.5" thickBot="1">
      <c r="A26" s="23" t="s">
        <v>35</v>
      </c>
      <c r="B26" s="25">
        <v>12.6</v>
      </c>
      <c r="C26" s="66">
        <v>65</v>
      </c>
      <c r="D26" s="25">
        <v>60</v>
      </c>
      <c r="E26" s="25">
        <v>1112145</v>
      </c>
      <c r="F26" s="25">
        <v>161111</v>
      </c>
      <c r="G26" s="25">
        <v>1</v>
      </c>
      <c r="H26" s="25">
        <v>3</v>
      </c>
      <c r="I26" s="67" t="s">
        <v>13</v>
      </c>
      <c r="J26" s="25">
        <v>6</v>
      </c>
      <c r="K26" s="27">
        <f t="shared" si="0"/>
        <v>10.79602</v>
      </c>
      <c r="L26" s="75">
        <f t="shared" si="1"/>
        <v>0.3873719936200001</v>
      </c>
      <c r="M26" s="75">
        <f t="shared" si="2"/>
        <v>20.8363186</v>
      </c>
      <c r="N26" s="75">
        <f t="shared" si="3"/>
        <v>1.5535090330991501</v>
      </c>
      <c r="O26" s="13" t="s">
        <v>85</v>
      </c>
      <c r="P26" s="14"/>
    </row>
    <row r="27" spans="1:16" ht="12.75">
      <c r="A27" s="60" t="s">
        <v>32</v>
      </c>
      <c r="B27" s="61">
        <v>12.6</v>
      </c>
      <c r="C27" s="62">
        <v>17</v>
      </c>
      <c r="D27" s="61">
        <v>41</v>
      </c>
      <c r="E27" s="61">
        <v>4512111</v>
      </c>
      <c r="F27" s="61">
        <v>161111</v>
      </c>
      <c r="G27" s="61">
        <v>2</v>
      </c>
      <c r="H27" s="61">
        <v>4</v>
      </c>
      <c r="I27" s="63" t="s">
        <v>12</v>
      </c>
      <c r="J27" s="61">
        <v>1</v>
      </c>
      <c r="K27" s="27">
        <f t="shared" si="0"/>
        <v>3.594191</v>
      </c>
      <c r="L27" s="75">
        <f t="shared" si="1"/>
        <v>0.24819326531400004</v>
      </c>
      <c r="M27" s="75">
        <f t="shared" si="2"/>
        <v>6.93678863</v>
      </c>
      <c r="N27" s="75">
        <f t="shared" si="3"/>
        <v>0.995349395335755</v>
      </c>
      <c r="O27" s="64" t="s">
        <v>85</v>
      </c>
      <c r="P27" s="65" t="s">
        <v>96</v>
      </c>
    </row>
    <row r="28" spans="1:16" ht="13.5" thickBot="1">
      <c r="A28" s="23" t="s">
        <v>33</v>
      </c>
      <c r="B28" s="25">
        <v>12.6</v>
      </c>
      <c r="C28" s="66">
        <v>17</v>
      </c>
      <c r="D28" s="25">
        <v>41</v>
      </c>
      <c r="E28" s="25">
        <v>1112145</v>
      </c>
      <c r="F28" s="25">
        <v>161111</v>
      </c>
      <c r="G28" s="25">
        <v>2</v>
      </c>
      <c r="H28" s="25">
        <v>4</v>
      </c>
      <c r="I28" s="67" t="s">
        <v>13</v>
      </c>
      <c r="J28" s="25">
        <v>6</v>
      </c>
      <c r="K28" s="27">
        <f t="shared" si="0"/>
        <v>3.594191</v>
      </c>
      <c r="L28" s="75">
        <f t="shared" si="1"/>
        <v>0.24819326531400004</v>
      </c>
      <c r="M28" s="75">
        <f t="shared" si="2"/>
        <v>6.93678863</v>
      </c>
      <c r="N28" s="75">
        <f t="shared" si="3"/>
        <v>0.995349395335755</v>
      </c>
      <c r="O28" s="13" t="s">
        <v>85</v>
      </c>
      <c r="P28" s="14"/>
    </row>
    <row r="29" spans="1:16" ht="12.75">
      <c r="A29" s="60" t="s">
        <v>27</v>
      </c>
      <c r="B29" s="61">
        <v>6.3</v>
      </c>
      <c r="C29" s="62">
        <v>20</v>
      </c>
      <c r="D29" s="62">
        <v>40</v>
      </c>
      <c r="E29" s="61">
        <v>6531241</v>
      </c>
      <c r="F29" s="61">
        <v>661111</v>
      </c>
      <c r="G29" s="61">
        <v>2</v>
      </c>
      <c r="H29" s="61">
        <v>3</v>
      </c>
      <c r="I29" s="63" t="s">
        <v>14</v>
      </c>
      <c r="J29" s="61">
        <v>6</v>
      </c>
      <c r="K29" s="27">
        <f t="shared" si="0"/>
        <v>13.60068</v>
      </c>
      <c r="L29" s="75">
        <f t="shared" si="1"/>
        <v>0.93918135672</v>
      </c>
      <c r="M29" s="75">
        <f t="shared" si="2"/>
        <v>26.2493124</v>
      </c>
      <c r="N29" s="75">
        <f t="shared" si="3"/>
        <v>3.7664744623074</v>
      </c>
      <c r="O29" s="64" t="s">
        <v>98</v>
      </c>
      <c r="P29" s="65"/>
    </row>
    <row r="30" spans="1:16" ht="13.5" thickBot="1">
      <c r="A30" s="23" t="s">
        <v>28</v>
      </c>
      <c r="B30" s="25">
        <v>6.3</v>
      </c>
      <c r="C30" s="66">
        <v>17</v>
      </c>
      <c r="D30" s="66">
        <v>17</v>
      </c>
      <c r="E30" s="25">
        <v>4661266</v>
      </c>
      <c r="F30" s="25">
        <v>151111</v>
      </c>
      <c r="G30" s="25">
        <v>2</v>
      </c>
      <c r="H30" s="25">
        <v>3</v>
      </c>
      <c r="I30" s="67" t="s">
        <v>15</v>
      </c>
      <c r="J30" s="25">
        <v>1</v>
      </c>
      <c r="K30" s="27">
        <f t="shared" si="0"/>
        <v>16.826039</v>
      </c>
      <c r="L30" s="75">
        <f t="shared" si="1"/>
        <v>1.1619052971060002</v>
      </c>
      <c r="M30" s="75">
        <f t="shared" si="2"/>
        <v>32.47425527</v>
      </c>
      <c r="N30" s="75">
        <f t="shared" si="3"/>
        <v>4.659682177309396</v>
      </c>
      <c r="O30" s="13" t="s">
        <v>98</v>
      </c>
      <c r="P30" s="14"/>
    </row>
    <row r="31" spans="1:16" ht="12.75">
      <c r="A31" s="60" t="s">
        <v>27</v>
      </c>
      <c r="B31" s="61">
        <v>6.3</v>
      </c>
      <c r="C31" s="62">
        <v>25</v>
      </c>
      <c r="D31" s="62">
        <v>62</v>
      </c>
      <c r="E31" s="61">
        <v>6531241</v>
      </c>
      <c r="F31" s="61">
        <v>661111</v>
      </c>
      <c r="G31" s="61">
        <v>2</v>
      </c>
      <c r="H31" s="61">
        <v>3</v>
      </c>
      <c r="I31" s="63" t="s">
        <v>14</v>
      </c>
      <c r="J31" s="61">
        <v>6</v>
      </c>
      <c r="K31" s="27">
        <f t="shared" si="0"/>
        <v>10.515554</v>
      </c>
      <c r="L31" s="75">
        <f t="shared" si="1"/>
        <v>0.7261410659160001</v>
      </c>
      <c r="M31" s="75">
        <f t="shared" si="2"/>
        <v>20.29501922</v>
      </c>
      <c r="N31" s="75">
        <f t="shared" si="3"/>
        <v>2.91210186534897</v>
      </c>
      <c r="O31" s="64" t="s">
        <v>91</v>
      </c>
      <c r="P31" s="65"/>
    </row>
    <row r="32" spans="1:16" ht="13.5" thickBot="1">
      <c r="A32" s="23" t="s">
        <v>28</v>
      </c>
      <c r="B32" s="25">
        <v>6.3</v>
      </c>
      <c r="C32" s="66">
        <v>50</v>
      </c>
      <c r="D32" s="66">
        <v>84</v>
      </c>
      <c r="E32" s="25">
        <v>4661266</v>
      </c>
      <c r="F32" s="25">
        <v>151111</v>
      </c>
      <c r="G32" s="25">
        <v>2</v>
      </c>
      <c r="H32" s="25">
        <v>2</v>
      </c>
      <c r="I32" s="67" t="s">
        <v>15</v>
      </c>
      <c r="J32" s="25">
        <v>1</v>
      </c>
      <c r="K32" s="27">
        <f t="shared" si="0"/>
        <v>28.4308</v>
      </c>
      <c r="L32" s="75">
        <f t="shared" si="1"/>
        <v>1.9632604632000004</v>
      </c>
      <c r="M32" s="75">
        <f t="shared" si="2"/>
        <v>54.871444000000004</v>
      </c>
      <c r="N32" s="75">
        <f t="shared" si="3"/>
        <v>7.873421192394001</v>
      </c>
      <c r="O32" s="13" t="s">
        <v>91</v>
      </c>
      <c r="P32" s="14"/>
    </row>
    <row r="33" spans="1:16" ht="12.75">
      <c r="A33" s="60" t="s">
        <v>29</v>
      </c>
      <c r="B33" s="61">
        <v>6.3</v>
      </c>
      <c r="C33" s="62">
        <v>65</v>
      </c>
      <c r="D33" s="62">
        <v>60</v>
      </c>
      <c r="E33" s="61">
        <v>2111111</v>
      </c>
      <c r="F33" s="61">
        <v>154111</v>
      </c>
      <c r="G33" s="61">
        <v>3</v>
      </c>
      <c r="H33" s="61">
        <v>2</v>
      </c>
      <c r="I33" s="68" t="s">
        <v>16</v>
      </c>
      <c r="J33" s="61">
        <v>10</v>
      </c>
      <c r="K33" s="27">
        <f t="shared" si="0"/>
        <v>42.262</v>
      </c>
      <c r="L33" s="75">
        <f t="shared" si="1"/>
        <v>5.7222748</v>
      </c>
      <c r="M33" s="75">
        <f t="shared" si="2"/>
        <v>81.56566</v>
      </c>
      <c r="N33" s="75">
        <f t="shared" si="3"/>
        <v>22.948498441</v>
      </c>
      <c r="O33" s="64" t="s">
        <v>91</v>
      </c>
      <c r="P33" s="65"/>
    </row>
    <row r="34" spans="1:16" ht="12.75">
      <c r="A34" s="10" t="s">
        <v>30</v>
      </c>
      <c r="B34" s="11">
        <v>6.3</v>
      </c>
      <c r="C34" s="44">
        <v>60</v>
      </c>
      <c r="D34" s="44">
        <v>55</v>
      </c>
      <c r="E34" s="11">
        <v>2111415</v>
      </c>
      <c r="F34" s="11">
        <v>111111</v>
      </c>
      <c r="G34" s="11">
        <v>3</v>
      </c>
      <c r="H34" s="11">
        <v>3</v>
      </c>
      <c r="I34" s="12" t="s">
        <v>17</v>
      </c>
      <c r="J34" s="11">
        <v>5</v>
      </c>
      <c r="K34" s="27">
        <f t="shared" si="0"/>
        <v>11.497185</v>
      </c>
      <c r="L34" s="75">
        <f t="shared" si="1"/>
        <v>1.5567188490000001</v>
      </c>
      <c r="M34" s="75">
        <f t="shared" si="2"/>
        <v>22.18956705</v>
      </c>
      <c r="N34" s="75">
        <f t="shared" si="3"/>
        <v>6.2430346895175</v>
      </c>
      <c r="O34" s="8" t="s">
        <v>91</v>
      </c>
      <c r="P34" s="9"/>
    </row>
    <row r="35" spans="1:16" ht="13.5" thickBot="1">
      <c r="A35" s="23" t="s">
        <v>31</v>
      </c>
      <c r="B35" s="25">
        <v>6.3</v>
      </c>
      <c r="C35" s="66">
        <v>65</v>
      </c>
      <c r="D35" s="66">
        <v>60</v>
      </c>
      <c r="E35" s="25">
        <v>2411111</v>
      </c>
      <c r="F35" s="25">
        <v>111511</v>
      </c>
      <c r="G35" s="25">
        <v>3</v>
      </c>
      <c r="H35" s="25">
        <v>2</v>
      </c>
      <c r="I35" s="67" t="s">
        <v>18</v>
      </c>
      <c r="J35" s="25">
        <v>2</v>
      </c>
      <c r="K35" s="27">
        <f t="shared" si="0"/>
        <v>42.262</v>
      </c>
      <c r="L35" s="75">
        <f t="shared" si="1"/>
        <v>5.7222748</v>
      </c>
      <c r="M35" s="75">
        <f t="shared" si="2"/>
        <v>81.56566</v>
      </c>
      <c r="N35" s="75">
        <f t="shared" si="3"/>
        <v>22.948498441</v>
      </c>
      <c r="O35" s="13" t="s">
        <v>91</v>
      </c>
      <c r="P35" s="14"/>
    </row>
    <row r="36" spans="1:16" ht="12.75">
      <c r="A36" s="26">
        <v>7591</v>
      </c>
      <c r="B36" s="56">
        <v>6.3</v>
      </c>
      <c r="C36" s="57">
        <v>85</v>
      </c>
      <c r="D36" s="57">
        <v>50</v>
      </c>
      <c r="E36" s="56">
        <v>1143152</v>
      </c>
      <c r="F36" s="56">
        <v>611111</v>
      </c>
      <c r="G36" s="56">
        <v>2</v>
      </c>
      <c r="H36" s="56">
        <v>2</v>
      </c>
      <c r="I36" s="58" t="s">
        <v>11</v>
      </c>
      <c r="J36" s="56">
        <v>3</v>
      </c>
      <c r="K36" s="27">
        <f t="shared" si="0"/>
        <v>48.025</v>
      </c>
      <c r="L36" s="75">
        <f t="shared" si="1"/>
        <v>3.3163183500000004</v>
      </c>
      <c r="M36" s="75">
        <f t="shared" si="2"/>
        <v>92.68825</v>
      </c>
      <c r="N36" s="75">
        <f t="shared" si="3"/>
        <v>13.299697960125</v>
      </c>
      <c r="O36" s="15" t="s">
        <v>91</v>
      </c>
      <c r="P36" s="59"/>
    </row>
    <row r="37" spans="1:16" ht="12.75">
      <c r="A37" s="10" t="s">
        <v>10</v>
      </c>
      <c r="B37" s="11">
        <v>6.3</v>
      </c>
      <c r="C37" s="44">
        <v>30</v>
      </c>
      <c r="D37" s="44">
        <v>95</v>
      </c>
      <c r="E37" s="11">
        <v>1143512</v>
      </c>
      <c r="F37" s="11">
        <v>111111</v>
      </c>
      <c r="G37" s="11">
        <v>4</v>
      </c>
      <c r="H37" s="11">
        <v>1</v>
      </c>
      <c r="I37" s="12" t="s">
        <v>19</v>
      </c>
      <c r="J37" s="11">
        <v>3</v>
      </c>
      <c r="K37" s="27">
        <f t="shared" si="0"/>
        <v>88.366</v>
      </c>
      <c r="L37" s="75">
        <f t="shared" si="1"/>
        <v>11.964756400000002</v>
      </c>
      <c r="M37" s="75">
        <f t="shared" si="2"/>
        <v>170.54638</v>
      </c>
      <c r="N37" s="75">
        <f t="shared" si="3"/>
        <v>47.983224013</v>
      </c>
      <c r="O37" s="8" t="s">
        <v>91</v>
      </c>
      <c r="P37" s="9"/>
    </row>
    <row r="38" spans="1:16" ht="12.75">
      <c r="A38" s="10" t="s">
        <v>20</v>
      </c>
      <c r="B38" s="11">
        <v>6.3</v>
      </c>
      <c r="C38" s="44">
        <v>55</v>
      </c>
      <c r="D38" s="44">
        <v>95</v>
      </c>
      <c r="E38" s="11">
        <v>6143562</v>
      </c>
      <c r="F38" s="11">
        <v>111111</v>
      </c>
      <c r="G38" s="11">
        <v>4</v>
      </c>
      <c r="H38" s="11">
        <v>1</v>
      </c>
      <c r="I38" s="12" t="s">
        <v>19</v>
      </c>
      <c r="J38" s="11">
        <v>3</v>
      </c>
      <c r="K38" s="27">
        <f t="shared" si="0"/>
        <v>88.366</v>
      </c>
      <c r="L38" s="75">
        <f t="shared" si="1"/>
        <v>11.964756400000002</v>
      </c>
      <c r="M38" s="75">
        <f t="shared" si="2"/>
        <v>170.54638</v>
      </c>
      <c r="N38" s="75">
        <f t="shared" si="3"/>
        <v>47.983224013</v>
      </c>
      <c r="O38" s="8" t="s">
        <v>91</v>
      </c>
      <c r="P38" s="9"/>
    </row>
    <row r="39" spans="1:16" ht="12.75">
      <c r="A39" s="10" t="s">
        <v>48</v>
      </c>
      <c r="B39" s="11">
        <v>6.3</v>
      </c>
      <c r="C39" s="44">
        <v>90</v>
      </c>
      <c r="D39" s="44">
        <v>90</v>
      </c>
      <c r="E39" s="11">
        <v>3246561</v>
      </c>
      <c r="F39" s="11">
        <v>111111</v>
      </c>
      <c r="G39" s="11">
        <v>4</v>
      </c>
      <c r="H39" s="11">
        <v>1</v>
      </c>
      <c r="I39" s="12" t="s">
        <v>51</v>
      </c>
      <c r="J39" s="11">
        <v>3</v>
      </c>
      <c r="K39" s="27">
        <f t="shared" si="0"/>
        <v>99.892</v>
      </c>
      <c r="L39" s="75">
        <f t="shared" si="1"/>
        <v>13.5253768</v>
      </c>
      <c r="M39" s="75">
        <f t="shared" si="2"/>
        <v>192.79155999999998</v>
      </c>
      <c r="N39" s="75">
        <f t="shared" si="3"/>
        <v>54.241905405999994</v>
      </c>
      <c r="O39" s="8" t="s">
        <v>91</v>
      </c>
      <c r="P39" s="9"/>
    </row>
    <row r="40" spans="1:16" ht="12.75">
      <c r="A40" s="10" t="s">
        <v>47</v>
      </c>
      <c r="B40" s="11">
        <v>6.3</v>
      </c>
      <c r="C40" s="44">
        <v>25</v>
      </c>
      <c r="D40" s="44">
        <v>25</v>
      </c>
      <c r="E40" s="11">
        <v>6143562</v>
      </c>
      <c r="F40" s="11">
        <v>111111</v>
      </c>
      <c r="G40" s="11">
        <v>4</v>
      </c>
      <c r="H40" s="11">
        <v>2</v>
      </c>
      <c r="I40" s="12" t="s">
        <v>19</v>
      </c>
      <c r="J40" s="11">
        <v>3</v>
      </c>
      <c r="K40" s="27">
        <f t="shared" si="0"/>
        <v>62.432500000000005</v>
      </c>
      <c r="L40" s="75">
        <f t="shared" si="1"/>
        <v>8.4533605</v>
      </c>
      <c r="M40" s="75">
        <f t="shared" si="2"/>
        <v>120.494725</v>
      </c>
      <c r="N40" s="75">
        <f t="shared" si="3"/>
        <v>33.90119087875</v>
      </c>
      <c r="O40" s="8" t="s">
        <v>91</v>
      </c>
      <c r="P40" s="9"/>
    </row>
    <row r="41" spans="1:16" ht="12.75">
      <c r="A41" s="10" t="s">
        <v>50</v>
      </c>
      <c r="B41" s="11">
        <v>6.3</v>
      </c>
      <c r="C41" s="44">
        <v>65</v>
      </c>
      <c r="D41" s="44">
        <v>65</v>
      </c>
      <c r="E41" s="11">
        <v>1143562</v>
      </c>
      <c r="F41" s="11">
        <v>111111</v>
      </c>
      <c r="G41" s="11">
        <v>2</v>
      </c>
      <c r="H41" s="11">
        <v>2</v>
      </c>
      <c r="I41" s="12" t="s">
        <v>19</v>
      </c>
      <c r="J41" s="11">
        <v>3</v>
      </c>
      <c r="K41" s="27">
        <f>((D41*IF(H41=1,-1.2,1)*IF(H41=2,-0.3,1)*IF(H41=3,-0.073,1)*IF(H41=4,-0.019,1)*IF(H41=5,-0.0047,1))+(IF(H41=1,160,1)*IF(H41=2,40,1)*IF(H41=3,10,1)*IF(H41=4,2.65,1)*IF(H41=5,0.77,1)))*$N$2</f>
        <v>39.3805</v>
      </c>
      <c r="L41" s="75">
        <f>$K41*(IF($G41=1,$N$6,1)*IF($G41=2,$N$7,1)*IF($G41=3,$N$8,1)*IF($G41=4,$N$9,1))*$N$4*0.001</f>
        <v>2.7193810469999997</v>
      </c>
      <c r="M41" s="75">
        <f>$K41*$N$3</f>
        <v>76.00436499999999</v>
      </c>
      <c r="N41" s="75">
        <f>(IF($G41=1,$N$6,1)*IF($G41=2,$N$7,1)*IF($G41=3,$N$8,1)*IF($G41=4,$N$9,1)*1.655)*$M41*0.001*$N$5</f>
        <v>10.905752327302498</v>
      </c>
      <c r="O41" s="8" t="s">
        <v>91</v>
      </c>
      <c r="P41" s="9" t="s">
        <v>146</v>
      </c>
    </row>
    <row r="42" spans="1:16" ht="12.75">
      <c r="A42" s="10">
        <v>6550</v>
      </c>
      <c r="B42" s="11">
        <v>6.3</v>
      </c>
      <c r="C42" s="44">
        <v>15</v>
      </c>
      <c r="D42" s="44">
        <v>90</v>
      </c>
      <c r="E42" s="11">
        <v>1143512</v>
      </c>
      <c r="F42" s="11">
        <v>111111</v>
      </c>
      <c r="G42" s="11">
        <v>3</v>
      </c>
      <c r="H42" s="11">
        <v>1</v>
      </c>
      <c r="I42" s="12" t="s">
        <v>19</v>
      </c>
      <c r="J42" s="11">
        <v>3</v>
      </c>
      <c r="K42" s="27">
        <f aca="true" t="shared" si="4" ref="K42:K69">((D42*IF(H42=1,-1.2,1)*IF(H42=2,-0.3,1)*IF(H42=3,-0.073,1)*IF(H42=4,-0.019,1)*IF(H42=5,-0.0047,1))+(IF(H42=1,160,1)*IF(H42=2,40,1)*IF(H42=3,10,1)*IF(H42=4,2.65,1)*IF(H42=5,0.77,1)))*$N$2</f>
        <v>99.892</v>
      </c>
      <c r="L42" s="75">
        <f aca="true" t="shared" si="5" ref="L42:L69">$K42*(IF($G42=1,$N$6,1)*IF($G42=2,$N$7,1)*IF($G42=3,$N$8,1)*IF($G42=4,$N$9,1))*$N$4*0.001</f>
        <v>13.5253768</v>
      </c>
      <c r="M42" s="75">
        <f aca="true" t="shared" si="6" ref="M42:M69">$K42*$N$3</f>
        <v>192.79155999999998</v>
      </c>
      <c r="N42" s="75">
        <f aca="true" t="shared" si="7" ref="N42:N69">(IF($G42=1,$N$6,1)*IF($G42=2,$N$7,1)*IF($G42=3,$N$8,1)*IF($G42=4,$N$9,1)*1.655)*$M42*0.001*$N$5</f>
        <v>54.241905405999994</v>
      </c>
      <c r="O42" s="8" t="s">
        <v>91</v>
      </c>
      <c r="P42" s="9"/>
    </row>
    <row r="43" spans="1:16" ht="12.75">
      <c r="A43" s="10" t="s">
        <v>49</v>
      </c>
      <c r="B43" s="11">
        <v>6.3</v>
      </c>
      <c r="C43" s="44">
        <v>95</v>
      </c>
      <c r="D43" s="44">
        <v>95</v>
      </c>
      <c r="E43" s="11">
        <v>1143512</v>
      </c>
      <c r="F43" s="11">
        <v>111111</v>
      </c>
      <c r="G43" s="11">
        <v>2</v>
      </c>
      <c r="H43" s="11">
        <v>1</v>
      </c>
      <c r="I43" s="12" t="s">
        <v>19</v>
      </c>
      <c r="J43" s="11">
        <v>3</v>
      </c>
      <c r="K43" s="27">
        <f t="shared" si="4"/>
        <v>88.366</v>
      </c>
      <c r="L43" s="75">
        <f t="shared" si="5"/>
        <v>6.102025764000001</v>
      </c>
      <c r="M43" s="75">
        <f t="shared" si="6"/>
        <v>170.54638</v>
      </c>
      <c r="N43" s="75">
        <f t="shared" si="7"/>
        <v>24.47144424663</v>
      </c>
      <c r="O43" s="8" t="s">
        <v>91</v>
      </c>
      <c r="P43" s="9"/>
    </row>
    <row r="44" spans="1:16" ht="12.75">
      <c r="A44" s="10" t="s">
        <v>101</v>
      </c>
      <c r="B44" s="11">
        <v>6.3</v>
      </c>
      <c r="C44" s="44">
        <v>60</v>
      </c>
      <c r="D44" s="44">
        <v>95</v>
      </c>
      <c r="E44" s="11">
        <v>6512164</v>
      </c>
      <c r="F44" s="11">
        <v>631111</v>
      </c>
      <c r="G44" s="11">
        <v>4</v>
      </c>
      <c r="H44" s="11">
        <v>1</v>
      </c>
      <c r="I44" s="12" t="s">
        <v>102</v>
      </c>
      <c r="J44" s="11">
        <v>7</v>
      </c>
      <c r="K44" s="27">
        <f t="shared" si="4"/>
        <v>88.366</v>
      </c>
      <c r="L44" s="75">
        <f t="shared" si="5"/>
        <v>11.964756400000002</v>
      </c>
      <c r="M44" s="75">
        <f t="shared" si="6"/>
        <v>170.54638</v>
      </c>
      <c r="N44" s="75">
        <f t="shared" si="7"/>
        <v>47.983224013</v>
      </c>
      <c r="O44" s="8" t="s">
        <v>91</v>
      </c>
      <c r="P44" s="9" t="s">
        <v>103</v>
      </c>
    </row>
    <row r="45" spans="1:16" ht="12.75">
      <c r="A45" s="10" t="s">
        <v>104</v>
      </c>
      <c r="B45" s="11">
        <v>6.8</v>
      </c>
      <c r="C45" s="44">
        <v>40</v>
      </c>
      <c r="D45" s="44">
        <v>40</v>
      </c>
      <c r="E45" s="11">
        <v>6143562</v>
      </c>
      <c r="F45" s="11">
        <v>111111</v>
      </c>
      <c r="G45" s="11">
        <v>4</v>
      </c>
      <c r="H45" s="11">
        <v>2</v>
      </c>
      <c r="I45" s="12" t="s">
        <v>19</v>
      </c>
      <c r="J45" s="11">
        <v>3</v>
      </c>
      <c r="K45" s="27">
        <f t="shared" si="4"/>
        <v>53.788000000000004</v>
      </c>
      <c r="L45" s="75">
        <f t="shared" si="5"/>
        <v>7.282895200000001</v>
      </c>
      <c r="M45" s="75">
        <f t="shared" si="6"/>
        <v>103.81084</v>
      </c>
      <c r="N45" s="75">
        <f t="shared" si="7"/>
        <v>29.207179834</v>
      </c>
      <c r="O45" s="8" t="s">
        <v>91</v>
      </c>
      <c r="P45" s="69" t="s">
        <v>105</v>
      </c>
    </row>
    <row r="46" spans="1:16" ht="12.75">
      <c r="A46" s="10" t="s">
        <v>106</v>
      </c>
      <c r="B46" s="11">
        <v>6.3</v>
      </c>
      <c r="C46" s="44">
        <v>70</v>
      </c>
      <c r="D46" s="44">
        <v>89</v>
      </c>
      <c r="E46" s="11">
        <v>5112431</v>
      </c>
      <c r="F46" s="11">
        <v>111111</v>
      </c>
      <c r="G46" s="11">
        <v>3</v>
      </c>
      <c r="H46" s="11">
        <v>2</v>
      </c>
      <c r="I46" s="12" t="s">
        <v>107</v>
      </c>
      <c r="J46" s="11">
        <v>5</v>
      </c>
      <c r="K46" s="27">
        <f t="shared" si="4"/>
        <v>25.549300000000002</v>
      </c>
      <c r="L46" s="75">
        <f t="shared" si="5"/>
        <v>3.459375220000001</v>
      </c>
      <c r="M46" s="75">
        <f t="shared" si="6"/>
        <v>49.310149</v>
      </c>
      <c r="N46" s="75">
        <f t="shared" si="7"/>
        <v>13.873410421150002</v>
      </c>
      <c r="O46" s="8" t="s">
        <v>91</v>
      </c>
      <c r="P46" s="9" t="s">
        <v>108</v>
      </c>
    </row>
    <row r="47" spans="1:16" ht="12.75">
      <c r="A47" s="10">
        <v>7355</v>
      </c>
      <c r="B47" s="11">
        <v>6.3</v>
      </c>
      <c r="C47" s="44">
        <v>7</v>
      </c>
      <c r="D47" s="44">
        <v>16</v>
      </c>
      <c r="E47" s="11">
        <v>1141152</v>
      </c>
      <c r="F47" s="11">
        <v>311111</v>
      </c>
      <c r="G47" s="11">
        <v>4</v>
      </c>
      <c r="H47" s="11">
        <v>2</v>
      </c>
      <c r="I47" s="12" t="s">
        <v>109</v>
      </c>
      <c r="J47" s="11">
        <v>3</v>
      </c>
      <c r="K47" s="27">
        <f t="shared" si="4"/>
        <v>67.6192</v>
      </c>
      <c r="L47" s="75">
        <f t="shared" si="5"/>
        <v>9.155639680000002</v>
      </c>
      <c r="M47" s="75">
        <f t="shared" si="6"/>
        <v>130.505056</v>
      </c>
      <c r="N47" s="75">
        <f t="shared" si="7"/>
        <v>36.7175975056</v>
      </c>
      <c r="O47" s="8" t="s">
        <v>91</v>
      </c>
      <c r="P47" s="9"/>
    </row>
    <row r="48" spans="1:16" ht="12.75">
      <c r="A48" s="10" t="s">
        <v>110</v>
      </c>
      <c r="B48" s="11">
        <v>6.3</v>
      </c>
      <c r="C48" s="44">
        <v>0</v>
      </c>
      <c r="D48" s="44">
        <v>83</v>
      </c>
      <c r="E48" s="11">
        <v>6112141</v>
      </c>
      <c r="F48" s="11">
        <v>111111</v>
      </c>
      <c r="G48" s="11">
        <v>2</v>
      </c>
      <c r="H48" s="11">
        <v>1</v>
      </c>
      <c r="I48" s="12" t="s">
        <v>112</v>
      </c>
      <c r="J48" s="11">
        <v>6</v>
      </c>
      <c r="K48" s="27">
        <f t="shared" si="4"/>
        <v>116.02840000000002</v>
      </c>
      <c r="L48" s="75">
        <f t="shared" si="5"/>
        <v>8.012225133600001</v>
      </c>
      <c r="M48" s="75">
        <f t="shared" si="6"/>
        <v>223.93481200000002</v>
      </c>
      <c r="N48" s="75">
        <f t="shared" si="7"/>
        <v>32.132070271662</v>
      </c>
      <c r="O48" s="8" t="s">
        <v>91</v>
      </c>
      <c r="P48" s="9"/>
    </row>
    <row r="49" spans="1:16" ht="12.75">
      <c r="A49" s="10" t="s">
        <v>111</v>
      </c>
      <c r="B49" s="11">
        <v>6.3</v>
      </c>
      <c r="C49" s="44">
        <v>0</v>
      </c>
      <c r="D49" s="44">
        <v>83</v>
      </c>
      <c r="E49" s="11">
        <v>4112161</v>
      </c>
      <c r="F49" s="11">
        <v>111111</v>
      </c>
      <c r="G49" s="11">
        <v>2</v>
      </c>
      <c r="H49" s="11">
        <v>1</v>
      </c>
      <c r="I49" s="12" t="s">
        <v>113</v>
      </c>
      <c r="J49" s="11">
        <v>1</v>
      </c>
      <c r="K49" s="27">
        <f t="shared" si="4"/>
        <v>116.02840000000002</v>
      </c>
      <c r="L49" s="75">
        <f t="shared" si="5"/>
        <v>8.012225133600001</v>
      </c>
      <c r="M49" s="75">
        <f t="shared" si="6"/>
        <v>223.93481200000002</v>
      </c>
      <c r="N49" s="75">
        <f t="shared" si="7"/>
        <v>32.132070271662</v>
      </c>
      <c r="O49" s="8" t="s">
        <v>91</v>
      </c>
      <c r="P49" s="9"/>
    </row>
    <row r="50" spans="1:16" ht="12.75">
      <c r="A50" s="10" t="s">
        <v>114</v>
      </c>
      <c r="B50" s="11">
        <v>6.3</v>
      </c>
      <c r="C50" s="44">
        <v>70</v>
      </c>
      <c r="D50" s="44">
        <v>34</v>
      </c>
      <c r="E50" s="11">
        <v>5112436</v>
      </c>
      <c r="F50" s="11">
        <v>111111</v>
      </c>
      <c r="G50" s="11">
        <v>3</v>
      </c>
      <c r="H50" s="11">
        <v>2</v>
      </c>
      <c r="I50" s="12" t="s">
        <v>115</v>
      </c>
      <c r="J50" s="11">
        <v>5</v>
      </c>
      <c r="K50" s="27">
        <f t="shared" si="4"/>
        <v>57.2458</v>
      </c>
      <c r="L50" s="75">
        <f t="shared" si="5"/>
        <v>7.751081320000001</v>
      </c>
      <c r="M50" s="75">
        <f t="shared" si="6"/>
        <v>110.484394</v>
      </c>
      <c r="N50" s="75">
        <f t="shared" si="7"/>
        <v>31.0847842519</v>
      </c>
      <c r="O50" s="8" t="s">
        <v>91</v>
      </c>
      <c r="P50" s="9"/>
    </row>
    <row r="51" spans="1:16" ht="12.75">
      <c r="A51" s="10" t="s">
        <v>116</v>
      </c>
      <c r="B51" s="11">
        <v>6.3</v>
      </c>
      <c r="C51" s="44">
        <v>50</v>
      </c>
      <c r="D51" s="44">
        <v>55</v>
      </c>
      <c r="E51" s="11">
        <v>5112111</v>
      </c>
      <c r="F51" s="11">
        <v>411111</v>
      </c>
      <c r="G51" s="11">
        <v>2</v>
      </c>
      <c r="H51" s="11">
        <v>2</v>
      </c>
      <c r="I51" s="12" t="s">
        <v>117</v>
      </c>
      <c r="J51" s="11">
        <v>8</v>
      </c>
      <c r="K51" s="27">
        <f t="shared" si="4"/>
        <v>45.1435</v>
      </c>
      <c r="L51" s="75">
        <f t="shared" si="5"/>
        <v>3.1173392490000005</v>
      </c>
      <c r="M51" s="75">
        <f t="shared" si="6"/>
        <v>87.12695500000001</v>
      </c>
      <c r="N51" s="75">
        <f t="shared" si="7"/>
        <v>12.5017160825175</v>
      </c>
      <c r="O51" s="8" t="s">
        <v>91</v>
      </c>
      <c r="P51" s="9" t="s">
        <v>118</v>
      </c>
    </row>
    <row r="52" spans="1:16" ht="12.75">
      <c r="A52" s="10" t="s">
        <v>120</v>
      </c>
      <c r="B52" s="11">
        <v>6.3</v>
      </c>
      <c r="C52" s="44">
        <v>0</v>
      </c>
      <c r="D52" s="44">
        <v>70</v>
      </c>
      <c r="E52" s="11">
        <v>4612166</v>
      </c>
      <c r="F52" s="11">
        <v>111111</v>
      </c>
      <c r="G52" s="11">
        <v>2</v>
      </c>
      <c r="H52" s="11">
        <v>1</v>
      </c>
      <c r="I52" s="12" t="s">
        <v>121</v>
      </c>
      <c r="J52" s="11">
        <v>1</v>
      </c>
      <c r="K52" s="27">
        <f t="shared" si="4"/>
        <v>145.996</v>
      </c>
      <c r="L52" s="75">
        <f t="shared" si="5"/>
        <v>10.081607784000003</v>
      </c>
      <c r="M52" s="75">
        <f t="shared" si="6"/>
        <v>281.77228</v>
      </c>
      <c r="N52" s="75">
        <f t="shared" si="7"/>
        <v>40.431081798780006</v>
      </c>
      <c r="O52" s="8"/>
      <c r="P52" s="9" t="s">
        <v>119</v>
      </c>
    </row>
    <row r="53" spans="1:16" ht="12.75">
      <c r="A53" s="10" t="s">
        <v>123</v>
      </c>
      <c r="B53" s="11">
        <v>6.3</v>
      </c>
      <c r="C53" s="44">
        <v>0</v>
      </c>
      <c r="D53" s="44">
        <v>70</v>
      </c>
      <c r="E53" s="11">
        <v>6612164</v>
      </c>
      <c r="F53" s="11">
        <v>111111</v>
      </c>
      <c r="G53" s="11">
        <v>2</v>
      </c>
      <c r="H53" s="11">
        <v>1</v>
      </c>
      <c r="I53" s="12" t="s">
        <v>122</v>
      </c>
      <c r="J53" s="11">
        <v>7</v>
      </c>
      <c r="K53" s="27">
        <f t="shared" si="4"/>
        <v>145.996</v>
      </c>
      <c r="L53" s="75">
        <f t="shared" si="5"/>
        <v>10.081607784000003</v>
      </c>
      <c r="M53" s="75">
        <f t="shared" si="6"/>
        <v>281.77228</v>
      </c>
      <c r="N53" s="75">
        <f t="shared" si="7"/>
        <v>40.431081798780006</v>
      </c>
      <c r="O53" s="8"/>
      <c r="P53" s="9"/>
    </row>
    <row r="54" spans="1:16" ht="12.75">
      <c r="A54" s="10" t="s">
        <v>124</v>
      </c>
      <c r="B54" s="11">
        <v>6.3</v>
      </c>
      <c r="C54" s="44">
        <v>25</v>
      </c>
      <c r="D54" s="44">
        <v>85</v>
      </c>
      <c r="E54" s="11">
        <v>5121664</v>
      </c>
      <c r="F54" s="11">
        <v>111111</v>
      </c>
      <c r="G54" s="11">
        <v>3</v>
      </c>
      <c r="H54" s="11">
        <v>3</v>
      </c>
      <c r="I54" s="12" t="s">
        <v>126</v>
      </c>
      <c r="J54" s="11">
        <v>7</v>
      </c>
      <c r="K54" s="27">
        <f t="shared" si="4"/>
        <v>7.2901950000000015</v>
      </c>
      <c r="L54" s="75">
        <f t="shared" si="5"/>
        <v>0.9870924030000002</v>
      </c>
      <c r="M54" s="75">
        <f t="shared" si="6"/>
        <v>14.070076350000003</v>
      </c>
      <c r="N54" s="75">
        <f t="shared" si="7"/>
        <v>3.9586159810725006</v>
      </c>
      <c r="O54" s="8" t="s">
        <v>91</v>
      </c>
      <c r="P54" s="9"/>
    </row>
    <row r="55" spans="1:16" ht="12.75">
      <c r="A55" s="10" t="s">
        <v>125</v>
      </c>
      <c r="B55" s="11">
        <v>6.3</v>
      </c>
      <c r="C55" s="44">
        <v>25</v>
      </c>
      <c r="D55" s="44">
        <v>14</v>
      </c>
      <c r="E55" s="11">
        <v>5121664</v>
      </c>
      <c r="F55" s="11">
        <v>111111</v>
      </c>
      <c r="G55" s="11">
        <v>4</v>
      </c>
      <c r="H55" s="11">
        <v>6</v>
      </c>
      <c r="I55" s="12" t="s">
        <v>127</v>
      </c>
      <c r="J55" s="11" t="s">
        <v>127</v>
      </c>
      <c r="K55" s="27">
        <f t="shared" si="4"/>
        <v>28.815</v>
      </c>
      <c r="L55" s="75">
        <f t="shared" si="5"/>
        <v>3.9015510000000004</v>
      </c>
      <c r="M55" s="75">
        <f t="shared" si="6"/>
        <v>55.61295</v>
      </c>
      <c r="N55" s="75">
        <f t="shared" si="7"/>
        <v>15.6467034825</v>
      </c>
      <c r="O55" s="8" t="s">
        <v>91</v>
      </c>
      <c r="P55" s="9"/>
    </row>
    <row r="56" spans="1:16" ht="12.75">
      <c r="A56" s="10" t="s">
        <v>128</v>
      </c>
      <c r="B56" s="11">
        <v>6.3</v>
      </c>
      <c r="C56" s="44">
        <v>55</v>
      </c>
      <c r="D56" s="44">
        <v>90</v>
      </c>
      <c r="E56" s="11">
        <v>4661266</v>
      </c>
      <c r="F56" s="11">
        <v>151111</v>
      </c>
      <c r="G56" s="11">
        <v>2</v>
      </c>
      <c r="H56" s="11">
        <v>2</v>
      </c>
      <c r="I56" s="12" t="s">
        <v>15</v>
      </c>
      <c r="J56" s="11">
        <v>1</v>
      </c>
      <c r="K56" s="27">
        <f t="shared" si="4"/>
        <v>24.973</v>
      </c>
      <c r="L56" s="75">
        <f t="shared" si="5"/>
        <v>1.7244855420000003</v>
      </c>
      <c r="M56" s="75">
        <f t="shared" si="6"/>
        <v>48.197889999999994</v>
      </c>
      <c r="N56" s="75">
        <f t="shared" si="7"/>
        <v>6.915842939264999</v>
      </c>
      <c r="O56" s="8" t="s">
        <v>91</v>
      </c>
      <c r="P56" s="9"/>
    </row>
    <row r="57" spans="1:16" ht="12.75">
      <c r="A57" s="10" t="s">
        <v>129</v>
      </c>
      <c r="B57" s="11">
        <v>6.3</v>
      </c>
      <c r="C57" s="44">
        <v>44</v>
      </c>
      <c r="D57" s="44">
        <v>73</v>
      </c>
      <c r="E57" s="11">
        <v>6531241</v>
      </c>
      <c r="F57" s="11">
        <v>661111</v>
      </c>
      <c r="G57" s="11">
        <v>2</v>
      </c>
      <c r="H57" s="11">
        <v>3</v>
      </c>
      <c r="I57" s="12" t="s">
        <v>14</v>
      </c>
      <c r="J57" s="11">
        <v>6</v>
      </c>
      <c r="K57" s="27">
        <f t="shared" si="4"/>
        <v>8.972991</v>
      </c>
      <c r="L57" s="75">
        <f t="shared" si="5"/>
        <v>0.6196209205140001</v>
      </c>
      <c r="M57" s="75">
        <f t="shared" si="6"/>
        <v>17.31787263</v>
      </c>
      <c r="N57" s="75">
        <f t="shared" si="7"/>
        <v>2.484915566869755</v>
      </c>
      <c r="O57" s="8" t="s">
        <v>91</v>
      </c>
      <c r="P57" s="9"/>
    </row>
    <row r="58" spans="1:16" ht="12.75">
      <c r="A58" s="10" t="s">
        <v>130</v>
      </c>
      <c r="B58" s="11">
        <v>6.3</v>
      </c>
      <c r="C58" s="44">
        <v>20</v>
      </c>
      <c r="D58" s="44">
        <v>40</v>
      </c>
      <c r="E58" s="11">
        <v>4511266</v>
      </c>
      <c r="F58" s="11">
        <v>661111</v>
      </c>
      <c r="G58" s="11">
        <v>3</v>
      </c>
      <c r="H58" s="11">
        <v>2</v>
      </c>
      <c r="I58" s="12" t="s">
        <v>12</v>
      </c>
      <c r="J58" s="11">
        <v>1</v>
      </c>
      <c r="K58" s="27">
        <f t="shared" si="4"/>
        <v>53.788000000000004</v>
      </c>
      <c r="L58" s="75">
        <f t="shared" si="5"/>
        <v>7.282895200000001</v>
      </c>
      <c r="M58" s="75">
        <f t="shared" si="6"/>
        <v>103.81084</v>
      </c>
      <c r="N58" s="75">
        <f t="shared" si="7"/>
        <v>29.207179834</v>
      </c>
      <c r="O58" s="8" t="s">
        <v>91</v>
      </c>
      <c r="P58" s="9"/>
    </row>
    <row r="59" spans="1:16" ht="12.75">
      <c r="A59" s="10" t="s">
        <v>131</v>
      </c>
      <c r="B59" s="11">
        <v>6.3</v>
      </c>
      <c r="C59" s="44">
        <v>60</v>
      </c>
      <c r="D59" s="44">
        <v>60</v>
      </c>
      <c r="E59" s="11">
        <v>6661243</v>
      </c>
      <c r="F59" s="11">
        <v>511111</v>
      </c>
      <c r="G59" s="11">
        <v>3</v>
      </c>
      <c r="H59" s="11">
        <v>2</v>
      </c>
      <c r="I59" s="12" t="s">
        <v>132</v>
      </c>
      <c r="J59" s="11">
        <v>6</v>
      </c>
      <c r="K59" s="27">
        <f t="shared" si="4"/>
        <v>42.262</v>
      </c>
      <c r="L59" s="75">
        <f t="shared" si="5"/>
        <v>5.7222748</v>
      </c>
      <c r="M59" s="75">
        <f t="shared" si="6"/>
        <v>81.56566</v>
      </c>
      <c r="N59" s="75">
        <f t="shared" si="7"/>
        <v>22.948498441</v>
      </c>
      <c r="O59" s="8" t="s">
        <v>91</v>
      </c>
      <c r="P59" s="9"/>
    </row>
    <row r="60" spans="1:16" ht="12.75">
      <c r="A60" s="10" t="s">
        <v>133</v>
      </c>
      <c r="B60" s="11">
        <v>6.3</v>
      </c>
      <c r="C60" s="44">
        <v>80</v>
      </c>
      <c r="D60" s="44">
        <v>80</v>
      </c>
      <c r="E60" s="11">
        <v>1541266</v>
      </c>
      <c r="F60" s="11">
        <v>661111</v>
      </c>
      <c r="G60" s="11">
        <v>2</v>
      </c>
      <c r="H60" s="11">
        <v>2</v>
      </c>
      <c r="I60" s="74" t="s">
        <v>135</v>
      </c>
      <c r="J60" s="11">
        <v>3</v>
      </c>
      <c r="K60" s="27">
        <f t="shared" si="4"/>
        <v>30.736</v>
      </c>
      <c r="L60" s="75">
        <f t="shared" si="5"/>
        <v>2.1224437440000004</v>
      </c>
      <c r="M60" s="75">
        <f t="shared" si="6"/>
        <v>59.320479999999996</v>
      </c>
      <c r="N60" s="75">
        <f t="shared" si="7"/>
        <v>8.511806694479999</v>
      </c>
      <c r="O60" s="8" t="s">
        <v>91</v>
      </c>
      <c r="P60" s="9"/>
    </row>
    <row r="61" spans="1:16" ht="12.75">
      <c r="A61" s="10" t="s">
        <v>134</v>
      </c>
      <c r="B61" s="11">
        <v>6.3</v>
      </c>
      <c r="C61" s="44">
        <v>80</v>
      </c>
      <c r="D61" s="44">
        <v>80</v>
      </c>
      <c r="E61" s="11">
        <v>6661215</v>
      </c>
      <c r="F61" s="11">
        <v>341111</v>
      </c>
      <c r="G61" s="11">
        <v>2</v>
      </c>
      <c r="H61" s="11">
        <v>2</v>
      </c>
      <c r="I61" s="74" t="s">
        <v>136</v>
      </c>
      <c r="J61" s="11">
        <v>9</v>
      </c>
      <c r="K61" s="27">
        <f t="shared" si="4"/>
        <v>30.736</v>
      </c>
      <c r="L61" s="75">
        <f t="shared" si="5"/>
        <v>2.1224437440000004</v>
      </c>
      <c r="M61" s="75">
        <f t="shared" si="6"/>
        <v>59.320479999999996</v>
      </c>
      <c r="N61" s="75">
        <f t="shared" si="7"/>
        <v>8.511806694479999</v>
      </c>
      <c r="O61" s="8" t="s">
        <v>91</v>
      </c>
      <c r="P61" s="9"/>
    </row>
    <row r="62" spans="1:16" ht="12.75">
      <c r="A62" s="10" t="s">
        <v>137</v>
      </c>
      <c r="B62" s="11">
        <v>6.3</v>
      </c>
      <c r="C62" s="44">
        <v>25</v>
      </c>
      <c r="D62" s="44">
        <v>62</v>
      </c>
      <c r="E62" s="11">
        <v>6531241</v>
      </c>
      <c r="F62" s="11">
        <v>661111</v>
      </c>
      <c r="G62" s="11">
        <v>2</v>
      </c>
      <c r="H62" s="11">
        <v>3</v>
      </c>
      <c r="I62" s="12" t="s">
        <v>14</v>
      </c>
      <c r="J62" s="11">
        <v>6</v>
      </c>
      <c r="K62" s="27">
        <f t="shared" si="4"/>
        <v>10.515554</v>
      </c>
      <c r="L62" s="75">
        <f t="shared" si="5"/>
        <v>0.7261410659160001</v>
      </c>
      <c r="M62" s="75">
        <f t="shared" si="6"/>
        <v>20.29501922</v>
      </c>
      <c r="N62" s="75">
        <f t="shared" si="7"/>
        <v>2.91210186534897</v>
      </c>
      <c r="O62" s="8" t="s">
        <v>91</v>
      </c>
      <c r="P62" s="9" t="s">
        <v>139</v>
      </c>
    </row>
    <row r="63" spans="1:16" ht="12.75">
      <c r="A63" s="10" t="s">
        <v>138</v>
      </c>
      <c r="B63" s="11">
        <v>6.3</v>
      </c>
      <c r="C63" s="44">
        <v>50</v>
      </c>
      <c r="D63" s="44">
        <v>84</v>
      </c>
      <c r="E63" s="11">
        <v>4661266</v>
      </c>
      <c r="F63" s="11">
        <v>151111</v>
      </c>
      <c r="G63" s="11">
        <v>2</v>
      </c>
      <c r="H63" s="11">
        <v>2</v>
      </c>
      <c r="I63" s="12" t="s">
        <v>15</v>
      </c>
      <c r="J63" s="11">
        <v>1</v>
      </c>
      <c r="K63" s="27">
        <f t="shared" si="4"/>
        <v>28.4308</v>
      </c>
      <c r="L63" s="75">
        <f t="shared" si="5"/>
        <v>1.9632604632000004</v>
      </c>
      <c r="M63" s="75">
        <f t="shared" si="6"/>
        <v>54.871444000000004</v>
      </c>
      <c r="N63" s="75">
        <f t="shared" si="7"/>
        <v>7.873421192394001</v>
      </c>
      <c r="O63" s="8" t="s">
        <v>91</v>
      </c>
      <c r="P63" s="9"/>
    </row>
    <row r="64" spans="1:16" ht="12.75">
      <c r="A64" s="10" t="s">
        <v>144</v>
      </c>
      <c r="B64" s="11">
        <v>6.3</v>
      </c>
      <c r="C64" s="44">
        <v>7</v>
      </c>
      <c r="D64" s="44">
        <v>75</v>
      </c>
      <c r="E64" s="11">
        <v>1143112</v>
      </c>
      <c r="F64" s="11">
        <v>111115</v>
      </c>
      <c r="G64" s="11">
        <v>4</v>
      </c>
      <c r="H64" s="11">
        <v>3</v>
      </c>
      <c r="I64" s="12"/>
      <c r="J64" s="11"/>
      <c r="K64" s="27">
        <f t="shared" si="4"/>
        <v>8.692525000000002</v>
      </c>
      <c r="L64" s="75">
        <f t="shared" si="5"/>
        <v>1.1769678850000003</v>
      </c>
      <c r="M64" s="75">
        <f t="shared" si="6"/>
        <v>16.776573250000002</v>
      </c>
      <c r="N64" s="75">
        <f t="shared" si="7"/>
        <v>4.720088883887501</v>
      </c>
      <c r="O64" s="8" t="s">
        <v>91</v>
      </c>
      <c r="P64" s="9"/>
    </row>
    <row r="65" spans="1:16" ht="12.75">
      <c r="A65" s="10" t="s">
        <v>145</v>
      </c>
      <c r="B65" s="11">
        <v>6.3</v>
      </c>
      <c r="C65" s="44">
        <v>25</v>
      </c>
      <c r="D65" s="44">
        <v>45</v>
      </c>
      <c r="E65" s="11">
        <v>1114112</v>
      </c>
      <c r="F65" s="11">
        <v>111115</v>
      </c>
      <c r="G65" s="11">
        <v>4</v>
      </c>
      <c r="H65" s="11">
        <v>3</v>
      </c>
      <c r="I65" s="12"/>
      <c r="J65" s="11"/>
      <c r="K65" s="27">
        <f t="shared" si="4"/>
        <v>12.899515</v>
      </c>
      <c r="L65" s="75">
        <f t="shared" si="5"/>
        <v>1.746594331</v>
      </c>
      <c r="M65" s="75">
        <f t="shared" si="6"/>
        <v>24.89606395</v>
      </c>
      <c r="N65" s="75">
        <f t="shared" si="7"/>
        <v>7.0045075923325</v>
      </c>
      <c r="O65" s="8" t="s">
        <v>91</v>
      </c>
      <c r="P65" s="9" t="s">
        <v>147</v>
      </c>
    </row>
    <row r="66" spans="1:16" ht="12.75">
      <c r="A66" s="10"/>
      <c r="B66" s="11"/>
      <c r="C66" s="44"/>
      <c r="D66" s="44"/>
      <c r="E66" s="11"/>
      <c r="F66" s="11"/>
      <c r="G66" s="11"/>
      <c r="H66" s="11"/>
      <c r="I66" s="12"/>
      <c r="J66" s="11"/>
      <c r="K66" s="27">
        <f t="shared" si="4"/>
        <v>1.921</v>
      </c>
      <c r="L66" s="75">
        <f t="shared" si="5"/>
        <v>0.0013005170000000002</v>
      </c>
      <c r="M66" s="75">
        <f t="shared" si="6"/>
        <v>3.7075299999999998</v>
      </c>
      <c r="N66" s="75">
        <f t="shared" si="7"/>
        <v>0.0052155678275</v>
      </c>
      <c r="O66" s="8"/>
      <c r="P66" s="9"/>
    </row>
    <row r="67" spans="1:16" ht="12.75">
      <c r="A67" s="10"/>
      <c r="B67" s="11"/>
      <c r="C67" s="44"/>
      <c r="D67" s="44"/>
      <c r="E67" s="11"/>
      <c r="F67" s="11"/>
      <c r="G67" s="11"/>
      <c r="H67" s="11"/>
      <c r="I67" s="12"/>
      <c r="J67" s="11"/>
      <c r="K67" s="27">
        <f t="shared" si="4"/>
        <v>1.921</v>
      </c>
      <c r="L67" s="75">
        <f t="shared" si="5"/>
        <v>0.0013005170000000002</v>
      </c>
      <c r="M67" s="75">
        <f t="shared" si="6"/>
        <v>3.7075299999999998</v>
      </c>
      <c r="N67" s="75">
        <f t="shared" si="7"/>
        <v>0.0052155678275</v>
      </c>
      <c r="O67" s="8"/>
      <c r="P67" s="9"/>
    </row>
    <row r="68" spans="1:16" ht="12.75">
      <c r="A68" s="10"/>
      <c r="B68" s="11"/>
      <c r="C68" s="44"/>
      <c r="D68" s="44"/>
      <c r="E68" s="11"/>
      <c r="F68" s="11"/>
      <c r="G68" s="11"/>
      <c r="H68" s="11"/>
      <c r="I68" s="12"/>
      <c r="J68" s="11"/>
      <c r="K68" s="27">
        <f t="shared" si="4"/>
        <v>1.921</v>
      </c>
      <c r="L68" s="75">
        <f t="shared" si="5"/>
        <v>0.0013005170000000002</v>
      </c>
      <c r="M68" s="75">
        <f t="shared" si="6"/>
        <v>3.7075299999999998</v>
      </c>
      <c r="N68" s="75">
        <f t="shared" si="7"/>
        <v>0.0052155678275</v>
      </c>
      <c r="O68" s="8"/>
      <c r="P68" s="9"/>
    </row>
    <row r="69" spans="1:16" ht="13.5" thickBot="1">
      <c r="A69" s="10"/>
      <c r="B69" s="11"/>
      <c r="C69" s="44"/>
      <c r="D69" s="44"/>
      <c r="E69" s="11"/>
      <c r="F69" s="11"/>
      <c r="G69" s="11">
        <v>1</v>
      </c>
      <c r="H69" s="11">
        <v>5</v>
      </c>
      <c r="I69" s="12"/>
      <c r="J69" s="11"/>
      <c r="K69" s="27">
        <f t="shared" si="4"/>
        <v>1.47917</v>
      </c>
      <c r="L69" s="75">
        <f t="shared" si="5"/>
        <v>0.05307409877000001</v>
      </c>
      <c r="M69" s="75">
        <f t="shared" si="6"/>
        <v>2.8547981</v>
      </c>
      <c r="N69" s="75">
        <f t="shared" si="7"/>
        <v>0.21284732304027504</v>
      </c>
      <c r="O69" s="8"/>
      <c r="P69" s="9"/>
    </row>
    <row r="70" spans="1:16" ht="39.75" thickBot="1">
      <c r="A70" s="70" t="s">
        <v>0</v>
      </c>
      <c r="B70" s="71" t="s">
        <v>1</v>
      </c>
      <c r="C70" s="71" t="s">
        <v>2</v>
      </c>
      <c r="D70" s="71" t="s">
        <v>3</v>
      </c>
      <c r="E70" s="71" t="s">
        <v>4</v>
      </c>
      <c r="F70" s="71" t="s">
        <v>5</v>
      </c>
      <c r="G70" s="71" t="s">
        <v>6</v>
      </c>
      <c r="H70" s="71" t="s">
        <v>7</v>
      </c>
      <c r="I70" s="71" t="s">
        <v>8</v>
      </c>
      <c r="J70" s="71" t="s">
        <v>9</v>
      </c>
      <c r="K70" s="71" t="s">
        <v>81</v>
      </c>
      <c r="L70" s="71" t="s">
        <v>95</v>
      </c>
      <c r="M70" s="73" t="s">
        <v>82</v>
      </c>
      <c r="N70" s="71" t="s">
        <v>94</v>
      </c>
      <c r="O70" s="71" t="s">
        <v>83</v>
      </c>
      <c r="P70" s="72"/>
    </row>
    <row r="100" ht="12.75">
      <c r="C100" t="s">
        <v>74</v>
      </c>
    </row>
    <row r="101" ht="13.5" thickBot="1"/>
    <row r="102" spans="3:12" ht="13.5" thickBot="1">
      <c r="C102" s="32" t="s">
        <v>46</v>
      </c>
      <c r="D102" s="20"/>
      <c r="E102" s="20"/>
      <c r="F102" s="20"/>
      <c r="G102" s="20"/>
      <c r="H102" s="20"/>
      <c r="I102" s="20"/>
      <c r="J102" s="20"/>
      <c r="K102" s="20"/>
      <c r="L102" s="21"/>
    </row>
    <row r="103" spans="3:12" ht="12.75">
      <c r="C103" s="26" t="s">
        <v>38</v>
      </c>
      <c r="D103" s="15"/>
      <c r="E103" s="15" t="s">
        <v>37</v>
      </c>
      <c r="F103" s="15" t="s">
        <v>36</v>
      </c>
      <c r="G103" s="15"/>
      <c r="H103" s="15"/>
      <c r="I103" s="15" t="s">
        <v>36</v>
      </c>
      <c r="J103" s="15" t="s">
        <v>39</v>
      </c>
      <c r="K103" s="30" t="s">
        <v>79</v>
      </c>
      <c r="L103" s="31" t="s">
        <v>80</v>
      </c>
    </row>
    <row r="104" spans="3:12" ht="12.75">
      <c r="C104" s="10">
        <v>1</v>
      </c>
      <c r="D104" s="8"/>
      <c r="E104" s="22">
        <v>50</v>
      </c>
      <c r="F104" s="27">
        <f>((E104*-1.2)+160)*1.6</f>
        <v>160</v>
      </c>
      <c r="G104" s="8"/>
      <c r="H104" s="11" t="s">
        <v>45</v>
      </c>
      <c r="I104" s="22">
        <v>64</v>
      </c>
      <c r="J104" s="27">
        <f>((I104-256)/-1.2)*0.625</f>
        <v>100</v>
      </c>
      <c r="K104" s="11">
        <v>256</v>
      </c>
      <c r="L104" s="9">
        <v>64</v>
      </c>
    </row>
    <row r="105" spans="3:12" ht="12.75">
      <c r="C105" s="10">
        <v>2</v>
      </c>
      <c r="D105" s="8"/>
      <c r="E105" s="22">
        <v>50</v>
      </c>
      <c r="F105" s="27">
        <f>((E105*-0.3)+40)*1.6</f>
        <v>40</v>
      </c>
      <c r="G105" s="8"/>
      <c r="H105" s="11" t="s">
        <v>45</v>
      </c>
      <c r="I105" s="22">
        <v>16</v>
      </c>
      <c r="J105" s="27">
        <f>((I105-64)/-0.3)*0.625</f>
        <v>100</v>
      </c>
      <c r="K105" s="11">
        <v>64</v>
      </c>
      <c r="L105" s="9">
        <v>16</v>
      </c>
    </row>
    <row r="106" spans="3:12" ht="12.75">
      <c r="C106" s="10">
        <v>3</v>
      </c>
      <c r="D106" s="8"/>
      <c r="E106" s="22">
        <v>50</v>
      </c>
      <c r="F106" s="27">
        <f>((E106*-0.073)+10)*1.6</f>
        <v>10.16</v>
      </c>
      <c r="G106" s="8"/>
      <c r="H106" s="11" t="s">
        <v>45</v>
      </c>
      <c r="I106" s="22">
        <v>4.32</v>
      </c>
      <c r="J106" s="27">
        <f>((I106-16)/-0.073)*0.625</f>
        <v>100</v>
      </c>
      <c r="K106" s="11">
        <v>16</v>
      </c>
      <c r="L106" s="9">
        <v>4.32</v>
      </c>
    </row>
    <row r="107" spans="3:12" ht="12.75">
      <c r="C107" s="10">
        <v>4</v>
      </c>
      <c r="D107" s="8"/>
      <c r="E107" s="22">
        <v>50</v>
      </c>
      <c r="F107" s="27">
        <f>((E107*-0.019)+2.65)*1.6</f>
        <v>2.72</v>
      </c>
      <c r="G107" s="8"/>
      <c r="H107" s="11" t="s">
        <v>45</v>
      </c>
      <c r="I107" s="22">
        <v>1.2</v>
      </c>
      <c r="J107" s="27">
        <f>((I107-4.24)/-0.019)*0.625</f>
        <v>100</v>
      </c>
      <c r="K107" s="11">
        <v>4.24</v>
      </c>
      <c r="L107" s="9">
        <v>1.2</v>
      </c>
    </row>
    <row r="108" spans="3:12" ht="13.5" thickBot="1">
      <c r="C108" s="23">
        <v>5</v>
      </c>
      <c r="D108" s="13"/>
      <c r="E108" s="24">
        <v>50</v>
      </c>
      <c r="F108" s="28">
        <f>((E108*-0.0047)+0.77)*1.6</f>
        <v>0.8560000000000001</v>
      </c>
      <c r="G108" s="13"/>
      <c r="H108" s="25" t="s">
        <v>45</v>
      </c>
      <c r="I108" s="24">
        <v>0.48</v>
      </c>
      <c r="J108" s="28">
        <f>((I108-1.232)/-0.0047)*0.625</f>
        <v>100</v>
      </c>
      <c r="K108" s="25">
        <v>1.232</v>
      </c>
      <c r="L108" s="14">
        <v>0.48</v>
      </c>
    </row>
    <row r="109" spans="3:12" ht="12.75">
      <c r="C109" s="5"/>
      <c r="D109" s="52"/>
      <c r="E109" s="53"/>
      <c r="F109" s="54"/>
      <c r="G109" s="52"/>
      <c r="H109" s="5"/>
      <c r="I109" s="53"/>
      <c r="J109" s="54"/>
      <c r="K109" s="5"/>
      <c r="L109" s="52"/>
    </row>
    <row r="110" spans="3:12" ht="12.75">
      <c r="C110" s="55" t="s">
        <v>93</v>
      </c>
      <c r="D110" s="52"/>
      <c r="E110" s="53"/>
      <c r="F110" s="54"/>
      <c r="G110" s="52"/>
      <c r="H110" s="5"/>
      <c r="I110" s="53"/>
      <c r="J110" s="54"/>
      <c r="K110" s="5"/>
      <c r="L110" s="52"/>
    </row>
    <row r="111" ht="13.5" thickBot="1"/>
    <row r="112" spans="1:16" ht="12.75">
      <c r="A112" s="33"/>
      <c r="B112" s="33"/>
      <c r="C112" s="80" t="s">
        <v>92</v>
      </c>
      <c r="D112" s="81"/>
      <c r="E112" s="81"/>
      <c r="F112" s="82"/>
      <c r="G112" s="33"/>
      <c r="H112" s="33"/>
      <c r="I112" s="33"/>
      <c r="J112" s="33"/>
      <c r="K112" s="33"/>
      <c r="L112" s="33"/>
      <c r="M112" s="33"/>
      <c r="N112" s="33"/>
      <c r="O112" s="33"/>
      <c r="P112" s="34"/>
    </row>
    <row r="113" spans="1:16" ht="15" customHeight="1">
      <c r="A113" s="33"/>
      <c r="B113" s="33"/>
      <c r="C113" s="76"/>
      <c r="D113" s="77"/>
      <c r="E113" s="45"/>
      <c r="F113" s="46"/>
      <c r="G113" s="33"/>
      <c r="H113" s="33"/>
      <c r="I113" s="35"/>
      <c r="J113" s="33"/>
      <c r="K113" s="33"/>
      <c r="L113" s="33"/>
      <c r="M113" s="33"/>
      <c r="N113" s="33"/>
      <c r="O113" s="33"/>
      <c r="P113" s="34"/>
    </row>
    <row r="114" spans="1:16" ht="12.75">
      <c r="A114" s="33"/>
      <c r="B114" s="33"/>
      <c r="C114" s="76" t="s">
        <v>75</v>
      </c>
      <c r="D114" s="77"/>
      <c r="E114" s="47">
        <v>10</v>
      </c>
      <c r="F114" s="46" t="s">
        <v>76</v>
      </c>
      <c r="G114" s="33"/>
      <c r="H114" s="33"/>
      <c r="I114" s="33"/>
      <c r="J114" s="33"/>
      <c r="K114" s="33"/>
      <c r="L114" s="33"/>
      <c r="M114" s="33"/>
      <c r="N114" s="33"/>
      <c r="O114" s="33"/>
      <c r="P114" s="34"/>
    </row>
    <row r="115" spans="1:16" ht="12.75">
      <c r="A115" s="33"/>
      <c r="B115" s="33"/>
      <c r="C115" s="76"/>
      <c r="D115" s="77"/>
      <c r="E115" s="45"/>
      <c r="F115" s="46"/>
      <c r="G115" s="33"/>
      <c r="H115" s="33"/>
      <c r="I115" s="33"/>
      <c r="J115" s="33"/>
      <c r="K115" s="36"/>
      <c r="L115" s="33"/>
      <c r="M115" s="33"/>
      <c r="N115" s="33"/>
      <c r="O115" s="33"/>
      <c r="P115" s="34"/>
    </row>
    <row r="116" spans="1:16" ht="12.75">
      <c r="A116" s="33"/>
      <c r="B116" s="33"/>
      <c r="C116" s="76" t="s">
        <v>77</v>
      </c>
      <c r="D116" s="77"/>
      <c r="E116" s="48" t="str">
        <f>IF(AND(E114&gt;=64,E114&lt;=256),"1",(IF(AND(E114&gt;=16,E114&lt;64),"2",(IF(AND(E114&gt;=4.32,E114&lt;16),"3",(IF(AND(E114&gt;=1.2,E114&lt;=4.24),"4",(IF(AND(E114&gt;=0.48,E114&lt;=1.232),"5","Out Of Range")))))))))</f>
        <v>3</v>
      </c>
      <c r="F116" s="49"/>
      <c r="G116" s="33"/>
      <c r="H116" s="33"/>
      <c r="I116" s="33"/>
      <c r="J116" s="33"/>
      <c r="K116" s="33"/>
      <c r="L116" s="33"/>
      <c r="M116" s="33"/>
      <c r="N116" s="33"/>
      <c r="O116" s="33"/>
      <c r="P116" s="34"/>
    </row>
    <row r="117" spans="1:16" ht="12.75">
      <c r="A117" s="33"/>
      <c r="B117" s="33"/>
      <c r="C117" s="76" t="s">
        <v>78</v>
      </c>
      <c r="D117" s="77"/>
      <c r="E117" s="51">
        <f>(1/$N$2)*IF(AND(E114&gt;=64,E114&lt;=256),((E114-256)/-1.2),(IF(AND(E114&gt;=16,E114&lt;64),((E114-64)/-0.3),(IF(AND(E114&gt;=4.32,E114&lt;16),((E114-16)/-0.073),(IF(AND(E114&gt;=1.2,E114&lt;=4.24),((E114-4.24)/-0.019),(IF(AND(E114&gt;=0.48,E114&lt;=1.232),((E114-1.232)/-0.0047),"Out Of Range")))))))))</f>
        <v>42.785934837021244</v>
      </c>
      <c r="F117" s="46" t="s">
        <v>67</v>
      </c>
      <c r="G117" s="33"/>
      <c r="H117" s="33"/>
      <c r="I117" s="33"/>
      <c r="J117" s="33"/>
      <c r="K117" s="37"/>
      <c r="L117" s="37"/>
      <c r="M117" s="33"/>
      <c r="N117" s="33"/>
      <c r="O117" s="33"/>
      <c r="P117" s="34"/>
    </row>
    <row r="118" spans="1:16" ht="13.5" thickBot="1">
      <c r="A118" s="33"/>
      <c r="B118" s="33"/>
      <c r="C118" s="78"/>
      <c r="D118" s="79"/>
      <c r="E118" s="2"/>
      <c r="F118" s="50"/>
      <c r="G118" s="33"/>
      <c r="H118" s="33"/>
      <c r="I118" s="33"/>
      <c r="J118" s="33"/>
      <c r="K118" s="37"/>
      <c r="L118" s="37"/>
      <c r="M118" s="33"/>
      <c r="N118" s="33"/>
      <c r="O118" s="33"/>
      <c r="P118" s="34"/>
    </row>
    <row r="119" spans="1:16" ht="12.75">
      <c r="A119" s="33"/>
      <c r="B119" s="33"/>
      <c r="C119" s="33"/>
      <c r="D119" s="33"/>
      <c r="E119" s="33"/>
      <c r="F119" s="33"/>
      <c r="G119" s="33"/>
      <c r="H119" s="33"/>
      <c r="I119" s="33"/>
      <c r="J119" s="33"/>
      <c r="K119" s="33"/>
      <c r="L119" s="33"/>
      <c r="M119" s="33"/>
      <c r="N119" s="33"/>
      <c r="O119" s="33"/>
      <c r="P119" s="34"/>
    </row>
    <row r="120" spans="1:16" ht="12.75">
      <c r="A120" s="33"/>
      <c r="B120" s="33"/>
      <c r="C120" s="33"/>
      <c r="D120" s="33"/>
      <c r="E120" s="33"/>
      <c r="F120" s="33"/>
      <c r="G120" s="33"/>
      <c r="H120" s="33"/>
      <c r="I120" s="33"/>
      <c r="J120" s="33"/>
      <c r="K120" s="33"/>
      <c r="L120" s="33"/>
      <c r="M120" s="33"/>
      <c r="N120" s="33"/>
      <c r="O120" s="33"/>
      <c r="P120" s="34"/>
    </row>
  </sheetData>
  <mergeCells count="7">
    <mergeCell ref="C116:D116"/>
    <mergeCell ref="C117:D117"/>
    <mergeCell ref="C118:D118"/>
    <mergeCell ref="C112:F112"/>
    <mergeCell ref="C113:D113"/>
    <mergeCell ref="C114:D114"/>
    <mergeCell ref="C115:D115"/>
  </mergeCells>
  <printOptions horizontalCentered="1" verticalCentered="1"/>
  <pageMargins left="0.25" right="0.25" top="0.25" bottom="0.25" header="0.5" footer="0.5"/>
  <pageSetup fitToHeight="1" fitToWidth="1" horizontalDpi="600" verticalDpi="600" orientation="landscape" scale="78"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13:K29"/>
  <sheetViews>
    <sheetView workbookViewId="0" topLeftCell="A1">
      <selection activeCell="A1" sqref="A1"/>
    </sheetView>
  </sheetViews>
  <sheetFormatPr defaultColWidth="9.140625" defaultRowHeight="12.75"/>
  <cols>
    <col min="3" max="3" width="10.421875" style="0" customWidth="1"/>
    <col min="6" max="6" width="10.8515625" style="0" customWidth="1"/>
    <col min="9" max="9" width="12.7109375" style="0" customWidth="1"/>
  </cols>
  <sheetData>
    <row r="13" spans="3:11" ht="12.75">
      <c r="C13" t="s">
        <v>52</v>
      </c>
      <c r="D13" s="3">
        <v>683</v>
      </c>
      <c r="E13" t="s">
        <v>57</v>
      </c>
      <c r="G13" t="s">
        <v>63</v>
      </c>
      <c r="I13" s="3">
        <v>1</v>
      </c>
      <c r="K13" t="s">
        <v>73</v>
      </c>
    </row>
    <row r="14" spans="3:5" ht="12.75">
      <c r="C14" t="s">
        <v>53</v>
      </c>
      <c r="D14" s="3">
        <v>171</v>
      </c>
      <c r="E14" t="s">
        <v>57</v>
      </c>
    </row>
    <row r="15" spans="3:5" ht="12.75">
      <c r="C15" t="s">
        <v>54</v>
      </c>
      <c r="D15" s="3">
        <v>42.7</v>
      </c>
      <c r="E15" t="s">
        <v>57</v>
      </c>
    </row>
    <row r="16" spans="3:5" ht="12.75">
      <c r="C16" t="s">
        <v>55</v>
      </c>
      <c r="D16" s="3">
        <v>10.7</v>
      </c>
      <c r="E16" t="s">
        <v>57</v>
      </c>
    </row>
    <row r="17" spans="3:5" ht="12.75">
      <c r="C17" t="s">
        <v>60</v>
      </c>
      <c r="D17" s="3">
        <v>3.57</v>
      </c>
      <c r="E17" t="s">
        <v>57</v>
      </c>
    </row>
    <row r="18" spans="3:6" ht="12.75">
      <c r="C18" t="s">
        <v>56</v>
      </c>
      <c r="D18" s="3">
        <v>3000</v>
      </c>
      <c r="E18" t="s">
        <v>57</v>
      </c>
      <c r="F18" t="s">
        <v>71</v>
      </c>
    </row>
    <row r="19" spans="3:5" ht="12.75">
      <c r="C19" t="s">
        <v>58</v>
      </c>
      <c r="D19" s="3">
        <v>1000</v>
      </c>
      <c r="E19" t="s">
        <v>57</v>
      </c>
    </row>
    <row r="20" spans="3:5" ht="12.75">
      <c r="C20" t="s">
        <v>68</v>
      </c>
      <c r="D20" s="3">
        <v>0.0002</v>
      </c>
      <c r="E20" t="s">
        <v>59</v>
      </c>
    </row>
    <row r="21" spans="3:5" ht="12.75">
      <c r="C21" t="s">
        <v>66</v>
      </c>
      <c r="D21" s="3">
        <v>100</v>
      </c>
      <c r="E21" t="s">
        <v>67</v>
      </c>
    </row>
    <row r="23" spans="2:9" ht="12.75">
      <c r="B23" s="7" t="s">
        <v>64</v>
      </c>
      <c r="C23" s="7" t="s">
        <v>61</v>
      </c>
      <c r="D23" s="7" t="s">
        <v>62</v>
      </c>
      <c r="E23" s="7" t="s">
        <v>69</v>
      </c>
      <c r="F23" s="7" t="s">
        <v>70</v>
      </c>
      <c r="G23" s="7" t="s">
        <v>72</v>
      </c>
      <c r="H23" s="7"/>
      <c r="I23" s="7" t="s">
        <v>65</v>
      </c>
    </row>
    <row r="24" spans="2:9" ht="12.75">
      <c r="B24">
        <v>1</v>
      </c>
      <c r="C24" s="4">
        <f>D17</f>
        <v>3.57</v>
      </c>
      <c r="D24" s="4">
        <f aca="true" t="shared" si="0" ref="D24:D29">$D$20*$D$21*(1/$I$13)*(100/140)*0.01</f>
        <v>0.00014285714285714287</v>
      </c>
      <c r="E24" s="6">
        <f aca="true" t="shared" si="1" ref="E24:E29">D24*($D$18+$D$19)</f>
        <v>0.5714285714285715</v>
      </c>
      <c r="F24" s="6">
        <f aca="true" t="shared" si="2" ref="F24:F29">(E24/C24)*1000</f>
        <v>160.06402561024413</v>
      </c>
      <c r="G24" s="6">
        <f aca="true" t="shared" si="3" ref="G24:G29">((E24/C24)+D24)*1000</f>
        <v>160.20688275310127</v>
      </c>
      <c r="I24" s="5" t="s">
        <v>40</v>
      </c>
    </row>
    <row r="25" spans="2:9" ht="12.75">
      <c r="B25">
        <v>2</v>
      </c>
      <c r="C25" s="4">
        <f>D17+D16</f>
        <v>14.27</v>
      </c>
      <c r="D25" s="4">
        <f t="shared" si="0"/>
        <v>0.00014285714285714287</v>
      </c>
      <c r="E25" s="6">
        <f t="shared" si="1"/>
        <v>0.5714285714285715</v>
      </c>
      <c r="F25" s="6">
        <f t="shared" si="2"/>
        <v>40.044048453298636</v>
      </c>
      <c r="G25" s="6">
        <f t="shared" si="3"/>
        <v>40.18690559615578</v>
      </c>
      <c r="I25" s="5" t="s">
        <v>41</v>
      </c>
    </row>
    <row r="26" spans="2:9" ht="12.75">
      <c r="B26">
        <v>3</v>
      </c>
      <c r="C26" s="4">
        <f>D17+D16+D15</f>
        <v>56.97</v>
      </c>
      <c r="D26" s="4">
        <f t="shared" si="0"/>
        <v>0.00014285714285714287</v>
      </c>
      <c r="E26" s="6">
        <f t="shared" si="1"/>
        <v>0.5714285714285715</v>
      </c>
      <c r="F26" s="6">
        <f t="shared" si="2"/>
        <v>10.030341783896288</v>
      </c>
      <c r="G26" s="6">
        <f t="shared" si="3"/>
        <v>10.17319892675343</v>
      </c>
      <c r="I26" s="5" t="s">
        <v>42</v>
      </c>
    </row>
    <row r="27" spans="2:9" ht="12.75">
      <c r="B27">
        <v>4</v>
      </c>
      <c r="C27" s="4">
        <f>D17+D16+D15+D14</f>
        <v>227.97</v>
      </c>
      <c r="D27" s="4">
        <f t="shared" si="0"/>
        <v>0.00014285714285714287</v>
      </c>
      <c r="E27" s="6">
        <f t="shared" si="1"/>
        <v>0.5714285714285715</v>
      </c>
      <c r="F27" s="6">
        <f t="shared" si="2"/>
        <v>2.5065954793550533</v>
      </c>
      <c r="G27" s="6">
        <f t="shared" si="3"/>
        <v>2.649452622212196</v>
      </c>
      <c r="I27" s="5" t="s">
        <v>43</v>
      </c>
    </row>
    <row r="28" spans="2:9" ht="12.75">
      <c r="B28">
        <v>5</v>
      </c>
      <c r="C28" s="4">
        <f>D17+D16+D15+D14+D13</f>
        <v>910.97</v>
      </c>
      <c r="D28" s="4">
        <f t="shared" si="0"/>
        <v>0.00014285714285714287</v>
      </c>
      <c r="E28" s="6">
        <f t="shared" si="1"/>
        <v>0.5714285714285715</v>
      </c>
      <c r="F28" s="6">
        <f t="shared" si="2"/>
        <v>0.6272748514534743</v>
      </c>
      <c r="G28" s="6">
        <f t="shared" si="3"/>
        <v>0.7701319943106172</v>
      </c>
      <c r="I28" s="5" t="s">
        <v>44</v>
      </c>
    </row>
    <row r="29" spans="2:9" ht="12.75">
      <c r="B29">
        <v>6</v>
      </c>
      <c r="C29" s="4">
        <f>D17+D16+D15+D14+D13</f>
        <v>910.97</v>
      </c>
      <c r="D29" s="4">
        <f t="shared" si="0"/>
        <v>0.00014285714285714287</v>
      </c>
      <c r="E29" s="6">
        <f t="shared" si="1"/>
        <v>0.5714285714285715</v>
      </c>
      <c r="F29" s="6">
        <f t="shared" si="2"/>
        <v>0.6272748514534743</v>
      </c>
      <c r="G29" s="6">
        <f t="shared" si="3"/>
        <v>0.7701319943106172</v>
      </c>
      <c r="I29" s="5" t="s">
        <v>44</v>
      </c>
    </row>
  </sheetData>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Conrad R. Hoffman</dc:creator>
  <cp:keywords/>
  <dc:description/>
  <cp:lastModifiedBy>Conrad R. Hoffman</cp:lastModifiedBy>
  <cp:lastPrinted>2014-12-14T18:02:55Z</cp:lastPrinted>
  <dcterms:created xsi:type="dcterms:W3CDTF">2012-07-17T03:34:01Z</dcterms:created>
  <dcterms:modified xsi:type="dcterms:W3CDTF">2015-10-13T01:31:54Z</dcterms:modified>
  <cp:category/>
  <cp:version/>
  <cp:contentType/>
  <cp:contentStatus/>
</cp:coreProperties>
</file>