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5180" windowHeight="8940" activeTab="0"/>
  </bookViews>
  <sheets>
    <sheet name="Intro" sheetId="1" r:id="rId1"/>
    <sheet name="N-Caps" sheetId="2" r:id="rId2"/>
    <sheet name="Minus C Example" sheetId="3" r:id="rId3"/>
    <sheet name="Measurement Example" sheetId="4" r:id="rId4"/>
    <sheet name="Special LC Tank" sheetId="5" r:id="rId5"/>
  </sheets>
  <definedNames/>
  <calcPr fullCalcOnLoad="1"/>
</workbook>
</file>

<file path=xl/sharedStrings.xml><?xml version="1.0" encoding="utf-8"?>
<sst xmlns="http://schemas.openxmlformats.org/spreadsheetml/2006/main" count="146" uniqueCount="86">
  <si>
    <t>dissipation factor</t>
  </si>
  <si>
    <t>Parallel combination value</t>
  </si>
  <si>
    <t>Frequency, Hz</t>
  </si>
  <si>
    <t>Improvement in ESR, %</t>
  </si>
  <si>
    <t>Improvement in DF, %</t>
  </si>
  <si>
    <t>ESR (calculated from DF)</t>
  </si>
  <si>
    <t>Freq.</t>
  </si>
  <si>
    <t>Hz</t>
  </si>
  <si>
    <t>Omega</t>
  </si>
  <si>
    <t>Cs</t>
  </si>
  <si>
    <t>μF</t>
  </si>
  <si>
    <t>Ω</t>
  </si>
  <si>
    <t>Caps in Series with Combined Dissipation Factor</t>
  </si>
  <si>
    <t>C1s</t>
  </si>
  <si>
    <t>D1</t>
  </si>
  <si>
    <t>ESR1</t>
  </si>
  <si>
    <t>C2s</t>
  </si>
  <si>
    <t>D2</t>
  </si>
  <si>
    <t>ESR2</t>
  </si>
  <si>
    <t>C3s</t>
  </si>
  <si>
    <t>D3</t>
  </si>
  <si>
    <t>ESR3</t>
  </si>
  <si>
    <t>C4s</t>
  </si>
  <si>
    <t>D4</t>
  </si>
  <si>
    <t>ESR4</t>
  </si>
  <si>
    <t>C5s</t>
  </si>
  <si>
    <t>D5</t>
  </si>
  <si>
    <t>ESR5</t>
  </si>
  <si>
    <t>New Cs</t>
  </si>
  <si>
    <t>New D</t>
  </si>
  <si>
    <t>New ESR</t>
  </si>
  <si>
    <t>Caps in Parallel with Combined Dissipation Factor</t>
  </si>
  <si>
    <t>C1p</t>
  </si>
  <si>
    <t>EPR1</t>
  </si>
  <si>
    <t>C2p</t>
  </si>
  <si>
    <t>EPR2</t>
  </si>
  <si>
    <t>C3p</t>
  </si>
  <si>
    <t>EPR3</t>
  </si>
  <si>
    <t>C4p</t>
  </si>
  <si>
    <t>EPR4</t>
  </si>
  <si>
    <t>C5p</t>
  </si>
  <si>
    <t>EPR5</t>
  </si>
  <si>
    <t>New Cp</t>
  </si>
  <si>
    <t>New EPR</t>
  </si>
  <si>
    <t>Volts</t>
  </si>
  <si>
    <t>DF</t>
  </si>
  <si>
    <t>Typical max dissipation factor vs voltage chart for aluminum electrolytics at 120 Hz:</t>
  </si>
  <si>
    <t>omega</t>
  </si>
  <si>
    <t>rad/sec</t>
  </si>
  <si>
    <t>Cp</t>
  </si>
  <si>
    <t>Rp</t>
  </si>
  <si>
    <t>Convert Rp to D</t>
  </si>
  <si>
    <t>in uF</t>
  </si>
  <si>
    <t>uF</t>
  </si>
  <si>
    <t>Difference</t>
  </si>
  <si>
    <t>Þ</t>
  </si>
  <si>
    <t>ß</t>
  </si>
  <si>
    <t>New combined parallel values</t>
  </si>
  <si>
    <t>new Cs &amp; D</t>
  </si>
  <si>
    <t>5 uF Mylar axial value, Cs</t>
  </si>
  <si>
    <t>0.1 uF polystyrene axial value, Cs</t>
  </si>
  <si>
    <t xml:space="preserve"> </t>
  </si>
  <si>
    <t>Bypassing a Pretty Good Cap with a Really Good Cap- does it help?</t>
  </si>
  <si>
    <t>Multiple Capacitors with Dissipation Factor</t>
  </si>
  <si>
    <t>Farads</t>
  </si>
  <si>
    <t>ohms</t>
  </si>
  <si>
    <t>ESR</t>
  </si>
  <si>
    <t>Minimum L solution</t>
  </si>
  <si>
    <t>henries</t>
  </si>
  <si>
    <t>uH</t>
  </si>
  <si>
    <t>Desired impedance</t>
  </si>
  <si>
    <t>Required L for impedance</t>
  </si>
  <si>
    <t>Extra R needed for C leg</t>
  </si>
  <si>
    <t>Capacitor test frequency</t>
  </si>
  <si>
    <t>Capacitance</t>
  </si>
  <si>
    <t>Dissipation factor</t>
  </si>
  <si>
    <t>Xc</t>
  </si>
  <si>
    <t>Sq root of L/C, first case</t>
  </si>
  <si>
    <t>Sq root of L/C, second case</t>
  </si>
  <si>
    <t>Check the results:</t>
  </si>
  <si>
    <t>The inductor must, by design or by an added resistor, have an ESR equal to the impedance above.</t>
  </si>
  <si>
    <t>The inductor must, by design or by an added resistor, have an ESR equal to the ESR of the capacitor. But, there is a flaw…</t>
  </si>
  <si>
    <t>The ESR of the capacitor is not constant with frequency. Thus, use a low loss capacitor and swamp out the error by</t>
  </si>
  <si>
    <t>selecting a higher impedance below.</t>
  </si>
  <si>
    <t>A Special Parallel L-C Tank Resonant at All Frequencies (or no frequencies)</t>
  </si>
  <si>
    <t>Not all parallel combinations increase in value- The Hoffman Effect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</si>
</sst>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E+00"/>
  </numFmts>
  <fonts count="30">
    <font>
      <sz val="10"/>
      <name val="Arial"/>
      <family val="0"/>
    </font>
    <font>
      <b/>
      <sz val="12"/>
      <name val="Arial"/>
      <family val="2"/>
    </font>
    <font>
      <sz val="8"/>
      <name val="Arial"/>
      <family val="0"/>
    </font>
    <font>
      <sz val="10"/>
      <color indexed="10"/>
      <name val="Arial"/>
      <family val="0"/>
    </font>
    <font>
      <sz val="10"/>
      <color indexed="12"/>
      <name val="Arial"/>
      <family val="0"/>
    </font>
    <font>
      <sz val="10"/>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8"/>
      <name val="Arial"/>
      <family val="0"/>
    </font>
    <font>
      <sz val="10"/>
      <color indexed="8"/>
      <name val="Arial"/>
      <family val="0"/>
    </font>
    <font>
      <i/>
      <sz val="10"/>
      <color indexed="8"/>
      <name val="Arial"/>
      <family val="0"/>
    </font>
    <font>
      <b/>
      <sz val="11"/>
      <name val="Arial"/>
      <family val="2"/>
    </font>
    <font>
      <b/>
      <sz val="10"/>
      <name val="Arial"/>
      <family val="2"/>
    </font>
    <font>
      <i/>
      <sz val="10"/>
      <color indexed="60"/>
      <name val="Arial"/>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xf>
    <xf numFmtId="164" fontId="3" fillId="0" borderId="0" xfId="0" applyNumberFormat="1" applyFont="1" applyAlignment="1">
      <alignment/>
    </xf>
    <xf numFmtId="0" fontId="4" fillId="0" borderId="0" xfId="0" applyFont="1" applyAlignment="1">
      <alignment/>
    </xf>
    <xf numFmtId="11" fontId="4" fillId="0" borderId="0" xfId="0" applyNumberFormat="1" applyFont="1" applyAlignment="1">
      <alignment/>
    </xf>
    <xf numFmtId="10" fontId="3" fillId="0" borderId="0" xfId="0" applyNumberFormat="1" applyFont="1" applyAlignment="1">
      <alignment/>
    </xf>
    <xf numFmtId="0" fontId="3" fillId="0" borderId="0" xfId="0" applyFont="1" applyAlignment="1">
      <alignment/>
    </xf>
    <xf numFmtId="0" fontId="0" fillId="0" borderId="0" xfId="0" applyFont="1" applyAlignment="1">
      <alignment/>
    </xf>
    <xf numFmtId="0" fontId="0" fillId="0" borderId="10" xfId="0" applyBorder="1" applyAlignment="1">
      <alignment/>
    </xf>
    <xf numFmtId="0" fontId="3" fillId="0" borderId="11" xfId="0" applyNumberFormat="1" applyFont="1" applyBorder="1" applyAlignment="1">
      <alignment/>
    </xf>
    <xf numFmtId="0" fontId="0" fillId="0" borderId="11" xfId="0" applyBorder="1" applyAlignment="1">
      <alignment/>
    </xf>
    <xf numFmtId="0" fontId="3" fillId="0" borderId="11" xfId="0" applyFont="1" applyBorder="1" applyAlignment="1">
      <alignment/>
    </xf>
    <xf numFmtId="164" fontId="3" fillId="0" borderId="11" xfId="0" applyNumberFormat="1" applyFont="1" applyBorder="1" applyAlignment="1">
      <alignment/>
    </xf>
    <xf numFmtId="0" fontId="0" fillId="0" borderId="12" xfId="0" applyFont="1" applyBorder="1" applyAlignment="1">
      <alignment/>
    </xf>
    <xf numFmtId="1" fontId="3" fillId="0" borderId="0" xfId="0" applyNumberFormat="1"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0" xfId="0" applyFont="1" applyAlignment="1">
      <alignment horizontal="center"/>
    </xf>
    <xf numFmtId="0" fontId="26" fillId="0" borderId="0" xfId="0" applyFont="1" applyAlignment="1">
      <alignment/>
    </xf>
    <xf numFmtId="0" fontId="3" fillId="0" borderId="0" xfId="0" applyFont="1" applyAlignment="1">
      <alignment/>
    </xf>
    <xf numFmtId="2" fontId="4" fillId="0" borderId="0" xfId="0" applyNumberFormat="1" applyFont="1" applyAlignment="1">
      <alignment/>
    </xf>
    <xf numFmtId="49" fontId="0" fillId="0" borderId="0" xfId="0" applyNumberFormat="1" applyAlignment="1">
      <alignment/>
    </xf>
    <xf numFmtId="1" fontId="4" fillId="0" borderId="0" xfId="0" applyNumberFormat="1" applyFont="1" applyAlignment="1">
      <alignment/>
    </xf>
    <xf numFmtId="169" fontId="4" fillId="0" borderId="0" xfId="0" applyNumberFormat="1" applyFont="1" applyAlignment="1">
      <alignment/>
    </xf>
    <xf numFmtId="11" fontId="4" fillId="0" borderId="0" xfId="0" applyNumberFormat="1" applyFont="1" applyAlignment="1">
      <alignment/>
    </xf>
    <xf numFmtId="169" fontId="3" fillId="0" borderId="0" xfId="0" applyNumberFormat="1" applyFont="1" applyAlignment="1">
      <alignment/>
    </xf>
    <xf numFmtId="0" fontId="27" fillId="0" borderId="0" xfId="0" applyFont="1" applyAlignment="1">
      <alignment/>
    </xf>
    <xf numFmtId="0" fontId="4" fillId="0" borderId="0" xfId="0" applyFont="1" applyAlignment="1">
      <alignment/>
    </xf>
    <xf numFmtId="11" fontId="3" fillId="0" borderId="0" xfId="0" applyNumberFormat="1" applyFont="1" applyAlignment="1">
      <alignment/>
    </xf>
    <xf numFmtId="0" fontId="28" fillId="0" borderId="0" xfId="0" applyFont="1" applyAlignment="1">
      <alignment/>
    </xf>
    <xf numFmtId="0" fontId="29" fillId="0" borderId="0" xfId="0" applyFont="1" applyAlignment="1">
      <alignment/>
    </xf>
    <xf numFmtId="0" fontId="4" fillId="0" borderId="0" xfId="0" applyNumberFormat="1" applyFont="1" applyAlignment="1">
      <alignment/>
    </xf>
    <xf numFmtId="170" fontId="4"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13</xdr:col>
      <xdr:colOff>0</xdr:colOff>
      <xdr:row>37</xdr:row>
      <xdr:rowOff>9525</xdr:rowOff>
    </xdr:to>
    <xdr:sp>
      <xdr:nvSpPr>
        <xdr:cNvPr id="1" name="TextBox 5"/>
        <xdr:cNvSpPr txBox="1">
          <a:spLocks noChangeArrowheads="1"/>
        </xdr:cNvSpPr>
      </xdr:nvSpPr>
      <xdr:spPr>
        <a:xfrm>
          <a:off x="1219200" y="838200"/>
          <a:ext cx="6696075" cy="5191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The usual formulas for combining capacitors in series and in parallel don't take losses into account. 99.99% of the time it make no difference. Every now and then the matter does come up and these sheets may prove useful.
The traditional capacitor representation uses the series model and the losses are expressed as dissipation factor (DF). It's become popular to use effective series resistance (ESR) but it's more appropriate for switching power supply design, where ESR if the main parameter of interest. ESR is less convienent for many calculations and is also value dependent. For our purposes, effective parallel resistance (EPR) makes the calculations easier, but the input parameter will still be DF.
Note that there are many ways to express losses- DF, ESR, phase angle and EPR to name a few. As long as you have two numbers, some form of reactance and loss, you can convert to any form needed. You can download a utility from my website that handles many of the different conversions. It also handles two capacitors parallel and series combinations as done here.
The capacitor models and formulas assume a single frequency, and thus a sine wave. You need to enter the frequency and have value and loss numbers that are correct for that frequency. Operation below self resonance is also assumed.
This sheet came about when examining various bypassing schemes used by audiophiles in amplifiers and such, but it can be used wherever necessary. There are example numbers in the various sheets. Examine them and then feel free to enter whatever you like or re-purpose the sheets in any way desired.
As usual, check your results. No responsibility is assumed for any loss or damage resulting from errors in this spreadsheet. 
6/29/2015
C. Hoffman
http://www.conradhoffman.com
</a:t>
          </a:r>
        </a:p>
      </xdr:txBody>
    </xdr:sp>
    <xdr:clientData/>
  </xdr:twoCellAnchor>
  <xdr:twoCellAnchor>
    <xdr:from>
      <xdr:col>3</xdr:col>
      <xdr:colOff>0</xdr:colOff>
      <xdr:row>1</xdr:row>
      <xdr:rowOff>0</xdr:rowOff>
    </xdr:from>
    <xdr:to>
      <xdr:col>12</xdr:col>
      <xdr:colOff>0</xdr:colOff>
      <xdr:row>3</xdr:row>
      <xdr:rowOff>152400</xdr:rowOff>
    </xdr:to>
    <xdr:sp>
      <xdr:nvSpPr>
        <xdr:cNvPr id="2" name="TextBox 6"/>
        <xdr:cNvSpPr txBox="1">
          <a:spLocks noChangeArrowheads="1"/>
        </xdr:cNvSpPr>
      </xdr:nvSpPr>
      <xdr:spPr>
        <a:xfrm>
          <a:off x="1828800" y="190500"/>
          <a:ext cx="5476875" cy="4762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Arial"/>
              <a:ea typeface="Arial"/>
              <a:cs typeface="Arial"/>
            </a:rPr>
            <a:t>Series and Parallel</a:t>
          </a:r>
          <a:r>
            <a:rPr lang="en-US" cap="none" sz="1400" b="0" i="0" u="none" baseline="0">
              <a:solidFill>
                <a:srgbClr val="000000"/>
              </a:solidFill>
              <a:latin typeface="Arial"/>
              <a:ea typeface="Arial"/>
              <a:cs typeface="Arial"/>
            </a:rPr>
            <a:t> Capacitor Combinations Including Losses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180975</xdr:rowOff>
    </xdr:from>
    <xdr:to>
      <xdr:col>15</xdr:col>
      <xdr:colOff>0</xdr:colOff>
      <xdr:row>21</xdr:row>
      <xdr:rowOff>19050</xdr:rowOff>
    </xdr:to>
    <xdr:sp>
      <xdr:nvSpPr>
        <xdr:cNvPr id="1" name="Text Box 1"/>
        <xdr:cNvSpPr txBox="1">
          <a:spLocks noChangeArrowheads="1"/>
        </xdr:cNvSpPr>
      </xdr:nvSpPr>
      <xdr:spPr>
        <a:xfrm>
          <a:off x="619125" y="371475"/>
          <a:ext cx="7991475" cy="3105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usual formulas for parallel and series capacitance don't take into account the losses. For the series combination it's pretty easy because capacitor values are usually given using the series model. Just convert the dissipation factor to ESR, add them together and then convert back to dissipation factor for the combined values.
Parallel is a bit harder, as the series model values have to be converted to the parallel model, added and then converted back to the series model.
Mylar is typically about 0.003-0.005 dissipation factor. Polypropylene, polystyrene and Teflon will be near zero at about 0.0002 or better dissipation. Film caps tend to have somewhat flat dissipation curves over a wide frequency range. No so with aluminum electrolytics. Aluminum electrolytics also tend to follow a standard chart at 1 kHz, though some will be quite a bit better if optimized for that. See data sheets for more info, especially on frequency.
For the demo below, fill in unused series values with a very high number, say 1E+10, and unused parallel values with a very low number, say 1E-10. Enter some small non-zero value for DF. Entries in blue, formula results in red- don't change stuff in red!
What you'll see is that with combinations of film caps, it makes no difference whether you parallel or series them, the losses "come out  in the wash" and you end up with pretty much what you started with. In other words, no matter how you arrange a group of Mylar caps, you always end up with the dissipation factor characteristic of Mylar. With aluminum electrolytics, losses vary more with frequency and between parts, so the end results of combinations may not be as expected.</a:t>
          </a:r>
        </a:p>
      </xdr:txBody>
    </xdr:sp>
    <xdr:clientData/>
  </xdr:twoCellAnchor>
  <xdr:twoCellAnchor>
    <xdr:from>
      <xdr:col>11</xdr:col>
      <xdr:colOff>0</xdr:colOff>
      <xdr:row>25</xdr:row>
      <xdr:rowOff>0</xdr:rowOff>
    </xdr:from>
    <xdr:to>
      <xdr:col>15</xdr:col>
      <xdr:colOff>0</xdr:colOff>
      <xdr:row>30</xdr:row>
      <xdr:rowOff>142875</xdr:rowOff>
    </xdr:to>
    <xdr:sp>
      <xdr:nvSpPr>
        <xdr:cNvPr id="2" name="Text Box 2"/>
        <xdr:cNvSpPr txBox="1">
          <a:spLocks noChangeArrowheads="1"/>
        </xdr:cNvSpPr>
      </xdr:nvSpPr>
      <xdr:spPr>
        <a:xfrm>
          <a:off x="5953125" y="4133850"/>
          <a:ext cx="2657475" cy="981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capacitance is combined with the standard reciprocal formula. The ESR is calculated, summed and then converted back to dissipation factor, using the summed value and frequency.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9525</xdr:rowOff>
    </xdr:from>
    <xdr:to>
      <xdr:col>15</xdr:col>
      <xdr:colOff>0</xdr:colOff>
      <xdr:row>41</xdr:row>
      <xdr:rowOff>19050</xdr:rowOff>
    </xdr:to>
    <xdr:sp>
      <xdr:nvSpPr>
        <xdr:cNvPr id="1" name="Text Box 1"/>
        <xdr:cNvSpPr txBox="1">
          <a:spLocks noChangeArrowheads="1"/>
        </xdr:cNvSpPr>
      </xdr:nvSpPr>
      <xdr:spPr>
        <a:xfrm>
          <a:off x="5334000" y="361950"/>
          <a:ext cx="3657600" cy="632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Values are in farads &amp; Hz. Change only the blue input values.
The two capacitors are converted from the usual series model, to the parallel model and the losses expressed as parallel resistance instead of DF.
The capacitances then add in parallel and the resistances are paralleled using product over sum, resulting in the new paralleled value.
Rp is converted to dissipation factor and the parallel model is converted back to the series model.
The difference in capacitance is included to show that parallel capacitors do not always sum as expected. If one of the capacitors has high losses the combination can actually result in a lower Cs than without the additional part. Since no one else has noted this, I'm going to name it "The Hoffman Effect".
In the example, a large electrolytic (Cs=17225 uF, D=1.998, 1 kHz) is paralleled with a high quality polypropylene film cap (Cs=2.971 uF, D=0.00012, 1 kHz). The self resonance of the large cap is over 3 kHz, so the example should be valid. Instead of the 3 uF expected increase in value, the result is almost 9 uF lower.
The decrease should be suspected whenever one of the capacitors has a DF of greater than 1 and the other is quite low.
This surprising result is also confirmed by actual bridge measurements, though it takes a high quality meter/bridge with the resolution and bandwidth to show the effect.
Is it important? Rarely, though loudspeaker crossovers would be a place for caution. It does show you should always question your basic assumptions as to how components interact.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8</xdr:col>
      <xdr:colOff>600075</xdr:colOff>
      <xdr:row>13</xdr:row>
      <xdr:rowOff>0</xdr:rowOff>
    </xdr:to>
    <xdr:sp>
      <xdr:nvSpPr>
        <xdr:cNvPr id="1" name="Text Box 1"/>
        <xdr:cNvSpPr txBox="1">
          <a:spLocks noChangeArrowheads="1"/>
        </xdr:cNvSpPr>
      </xdr:nvSpPr>
      <xdr:spPr>
        <a:xfrm>
          <a:off x="609600" y="361950"/>
          <a:ext cx="4857750" cy="1771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two caps tested were an old CDE 5 uF Mylar (MCR1W5) and an ARCO 0.1 uF polystyrene (possibly polypropylene- hard to tell the difference), both 100 V. They were measured separately and then soldered together in parallel and measured again, using a $16,000 Agilent E4980A LCR meter.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measured results are just as the theory and math would predict, though probably a bit disappointing to those hoping a large moderate-performance cap can be made </a:t>
          </a:r>
          <a:r>
            <a:rPr lang="en-US" cap="none" sz="1000" b="0" i="1" u="none" baseline="0">
              <a:solidFill>
                <a:srgbClr val="000000"/>
              </a:solidFill>
              <a:latin typeface="Arial"/>
              <a:ea typeface="Arial"/>
              <a:cs typeface="Arial"/>
            </a:rPr>
            <a:t>significantly</a:t>
          </a:r>
          <a:r>
            <a:rPr lang="en-US" cap="none" sz="1000" b="0" i="0" u="none" baseline="0">
              <a:solidFill>
                <a:srgbClr val="000000"/>
              </a:solidFill>
              <a:latin typeface="Arial"/>
              <a:ea typeface="Arial"/>
              <a:cs typeface="Arial"/>
            </a:rPr>
            <a:t> better by the addition of a much higher performing cap.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Capacitance is in farads, ESR in ohms.</a:t>
          </a:r>
        </a:p>
      </xdr:txBody>
    </xdr:sp>
    <xdr:clientData/>
  </xdr:twoCellAnchor>
  <xdr:twoCellAnchor>
    <xdr:from>
      <xdr:col>8</xdr:col>
      <xdr:colOff>9525</xdr:colOff>
      <xdr:row>22</xdr:row>
      <xdr:rowOff>0</xdr:rowOff>
    </xdr:from>
    <xdr:to>
      <xdr:col>14</xdr:col>
      <xdr:colOff>0</xdr:colOff>
      <xdr:row>25</xdr:row>
      <xdr:rowOff>142875</xdr:rowOff>
    </xdr:to>
    <xdr:sp>
      <xdr:nvSpPr>
        <xdr:cNvPr id="2" name="Text Box 2"/>
        <xdr:cNvSpPr txBox="1">
          <a:spLocks noChangeArrowheads="1"/>
        </xdr:cNvSpPr>
      </xdr:nvSpPr>
      <xdr:spPr>
        <a:xfrm>
          <a:off x="4876800" y="3590925"/>
          <a:ext cx="3648075" cy="628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Even the mighty Agilent has trouble reading a polystyrene at 20 Hz. The observed value was actually slightly negative because the inductance of the test fixture and leads dominates.</a:t>
          </a:r>
        </a:p>
      </xdr:txBody>
    </xdr:sp>
    <xdr:clientData/>
  </xdr:twoCellAnchor>
  <xdr:twoCellAnchor>
    <xdr:from>
      <xdr:col>8</xdr:col>
      <xdr:colOff>9525</xdr:colOff>
      <xdr:row>29</xdr:row>
      <xdr:rowOff>9525</xdr:rowOff>
    </xdr:from>
    <xdr:to>
      <xdr:col>14</xdr:col>
      <xdr:colOff>9525</xdr:colOff>
      <xdr:row>37</xdr:row>
      <xdr:rowOff>0</xdr:rowOff>
    </xdr:to>
    <xdr:sp>
      <xdr:nvSpPr>
        <xdr:cNvPr id="3" name="Text Box 3"/>
        <xdr:cNvSpPr txBox="1">
          <a:spLocks noChangeArrowheads="1"/>
        </xdr:cNvSpPr>
      </xdr:nvSpPr>
      <xdr:spPr>
        <a:xfrm>
          <a:off x="4876800" y="4733925"/>
          <a:ext cx="3657600" cy="1285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Don't be deceived by the improvement in ESR. Some of it comes from the slight increase in capacitance- remember, ESR = DF/omega*C. Pay attention instead to the DF numbers, which are not value dependent.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question is, can this slight improvement in an already tiny value be heard? </a:t>
          </a:r>
        </a:p>
      </xdr:txBody>
    </xdr:sp>
    <xdr:clientData/>
  </xdr:twoCellAnchor>
  <xdr:twoCellAnchor>
    <xdr:from>
      <xdr:col>8</xdr:col>
      <xdr:colOff>0</xdr:colOff>
      <xdr:row>15</xdr:row>
      <xdr:rowOff>9525</xdr:rowOff>
    </xdr:from>
    <xdr:to>
      <xdr:col>14</xdr:col>
      <xdr:colOff>9525</xdr:colOff>
      <xdr:row>18</xdr:row>
      <xdr:rowOff>0</xdr:rowOff>
    </xdr:to>
    <xdr:sp>
      <xdr:nvSpPr>
        <xdr:cNvPr id="4" name="Text Box 4"/>
        <xdr:cNvSpPr txBox="1">
          <a:spLocks noChangeArrowheads="1"/>
        </xdr:cNvSpPr>
      </xdr:nvSpPr>
      <xdr:spPr>
        <a:xfrm>
          <a:off x="4867275" y="2466975"/>
          <a:ext cx="366712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Note: This page only documents actual measurements! It is not a calculation sheet- see the other tabs of this spreadsheet for that.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161925</xdr:rowOff>
    </xdr:from>
    <xdr:to>
      <xdr:col>13</xdr:col>
      <xdr:colOff>0</xdr:colOff>
      <xdr:row>8</xdr:row>
      <xdr:rowOff>19050</xdr:rowOff>
    </xdr:to>
    <xdr:sp>
      <xdr:nvSpPr>
        <xdr:cNvPr id="1" name="TextBox 1"/>
        <xdr:cNvSpPr txBox="1">
          <a:spLocks noChangeArrowheads="1"/>
        </xdr:cNvSpPr>
      </xdr:nvSpPr>
      <xdr:spPr>
        <a:xfrm>
          <a:off x="609600" y="333375"/>
          <a:ext cx="74866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There is an interesting case for low Q parallel LC resonant circuits where the resistances in the two branches are the same, and both are equal to the square root of L/C. Under this condition, the parallel impedance is a resistance at all frequencies, and has a value of the square root of L/C ohms. (from the Frederick Terman, Radio Engineers' Handbook, 1943)
The calculator below gives the inductor and extra resistance needed to satisfy the above condition for a given capacitor.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4"/>
  <sheetViews>
    <sheetView tabSelected="1" zoomScalePageLayoutView="0" workbookViewId="0" topLeftCell="A1">
      <selection activeCell="A1" sqref="A1"/>
    </sheetView>
  </sheetViews>
  <sheetFormatPr defaultColWidth="9.140625" defaultRowHeight="12.75"/>
  <cols>
    <col min="6" max="6" width="9.00390625" style="0" bestFit="1" customWidth="1"/>
  </cols>
  <sheetData>
    <row r="1" ht="15">
      <c r="A1" s="1"/>
    </row>
    <row r="5" ht="12.75">
      <c r="K5" s="6"/>
    </row>
    <row r="16" spans="5:7" ht="12.75">
      <c r="E16" s="3"/>
      <c r="F16" s="3"/>
      <c r="G16" s="3"/>
    </row>
    <row r="18" spans="5:7" ht="12.75">
      <c r="E18" s="4"/>
      <c r="F18" s="4"/>
      <c r="G18" s="4"/>
    </row>
    <row r="19" spans="5:7" ht="12.75">
      <c r="E19" s="3"/>
      <c r="F19" s="3"/>
      <c r="G19" s="3"/>
    </row>
    <row r="20" spans="5:7" ht="12.75">
      <c r="E20" s="2"/>
      <c r="F20" s="2"/>
      <c r="G20" s="2"/>
    </row>
    <row r="23" spans="5:7" ht="12.75">
      <c r="E23" s="4"/>
      <c r="F23" s="4"/>
      <c r="G23" s="4"/>
    </row>
    <row r="24" spans="5:7" ht="12.75">
      <c r="E24" s="3"/>
      <c r="F24" s="3"/>
      <c r="G24" s="3"/>
    </row>
    <row r="25" spans="5:7" ht="12.75">
      <c r="E25" s="2"/>
      <c r="F25" s="2"/>
      <c r="G25" s="2"/>
    </row>
    <row r="28" spans="5:7" ht="12.75">
      <c r="E28" s="4"/>
      <c r="F28" s="4"/>
      <c r="G28" s="4"/>
    </row>
    <row r="29" spans="5:7" ht="12.75">
      <c r="E29" s="3"/>
      <c r="F29" s="3"/>
      <c r="G29" s="3"/>
    </row>
    <row r="30" spans="5:7" ht="12.75">
      <c r="E30" s="2"/>
      <c r="F30" s="2"/>
      <c r="G30" s="2"/>
    </row>
    <row r="32" spans="5:7" ht="12.75">
      <c r="E32" s="5"/>
      <c r="F32" s="5"/>
      <c r="G32" s="5"/>
    </row>
    <row r="34" spans="5:7" ht="12.75">
      <c r="E34" s="5"/>
      <c r="F34" s="5"/>
      <c r="G34" s="5"/>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P51"/>
  <sheetViews>
    <sheetView zoomScalePageLayoutView="0" workbookViewId="0" topLeftCell="A1">
      <selection activeCell="A2" sqref="A2"/>
    </sheetView>
  </sheetViews>
  <sheetFormatPr defaultColWidth="9.140625" defaultRowHeight="12.75"/>
  <cols>
    <col min="5" max="5" width="4.7109375" style="0" customWidth="1"/>
    <col min="6" max="6" width="7.7109375" style="0" customWidth="1"/>
    <col min="8" max="8" width="6.28125" style="0" customWidth="1"/>
    <col min="9" max="9" width="9.28125" style="0" customWidth="1"/>
    <col min="10" max="10" width="10.140625" style="0" customWidth="1"/>
    <col min="11" max="11" width="5.421875" style="0" customWidth="1"/>
    <col min="12" max="12" width="11.140625" style="0" customWidth="1"/>
    <col min="13" max="13" width="18.140625" style="0" customWidth="1"/>
    <col min="14" max="14" width="5.57421875" style="0" customWidth="1"/>
    <col min="15" max="15" width="5.00390625" style="0" customWidth="1"/>
    <col min="16" max="16" width="4.7109375" style="0" customWidth="1"/>
    <col min="17" max="17" width="5.421875" style="0" customWidth="1"/>
    <col min="18" max="19" width="5.28125" style="0" customWidth="1"/>
    <col min="20" max="20" width="5.57421875" style="0" customWidth="1"/>
    <col min="21" max="22" width="5.28125" style="0" customWidth="1"/>
  </cols>
  <sheetData>
    <row r="1" spans="1:3" ht="15">
      <c r="A1" s="1" t="s">
        <v>63</v>
      </c>
      <c r="C1" s="3"/>
    </row>
    <row r="2" spans="1:3" ht="15">
      <c r="A2" s="1"/>
      <c r="C2" s="3"/>
    </row>
    <row r="3" ht="12.75">
      <c r="C3" s="3"/>
    </row>
    <row r="4" ht="12.75">
      <c r="C4" s="3"/>
    </row>
    <row r="5" ht="12.75">
      <c r="C5" s="3"/>
    </row>
    <row r="6" ht="12.75">
      <c r="C6" s="6"/>
    </row>
    <row r="7" ht="12.75">
      <c r="C7" s="6"/>
    </row>
    <row r="8" ht="12.75">
      <c r="C8" s="6"/>
    </row>
    <row r="9" ht="12.75">
      <c r="C9" s="6"/>
    </row>
    <row r="10" ht="12.75">
      <c r="C10" s="6"/>
    </row>
    <row r="11" ht="12.75">
      <c r="C11" s="6"/>
    </row>
    <row r="12" ht="12.75">
      <c r="C12" s="6"/>
    </row>
    <row r="13" ht="12.75">
      <c r="C13" s="6"/>
    </row>
    <row r="23" spans="2:7" ht="12.75">
      <c r="B23" t="s">
        <v>6</v>
      </c>
      <c r="C23" s="3">
        <v>1000</v>
      </c>
      <c r="D23" t="s">
        <v>7</v>
      </c>
      <c r="F23" t="s">
        <v>8</v>
      </c>
      <c r="G23" s="6">
        <f>2*PI()*C23</f>
        <v>6283.185307179586</v>
      </c>
    </row>
    <row r="25" ht="15">
      <c r="A25" s="1" t="s">
        <v>12</v>
      </c>
    </row>
    <row r="26" ht="15">
      <c r="A26" s="1"/>
    </row>
    <row r="27" spans="2:11" ht="12.75">
      <c r="B27" t="s">
        <v>13</v>
      </c>
      <c r="C27" s="3">
        <v>82</v>
      </c>
      <c r="D27" t="s">
        <v>10</v>
      </c>
      <c r="F27" t="s">
        <v>14</v>
      </c>
      <c r="G27" s="3">
        <v>0.005</v>
      </c>
      <c r="I27" t="s">
        <v>15</v>
      </c>
      <c r="J27" s="2">
        <f>G27/($G$23*C27*0.000001)</f>
        <v>0.009704569700725326</v>
      </c>
      <c r="K27" s="7" t="s">
        <v>11</v>
      </c>
    </row>
    <row r="28" spans="2:11" ht="12.75">
      <c r="B28" t="s">
        <v>16</v>
      </c>
      <c r="C28" s="3">
        <v>75</v>
      </c>
      <c r="D28" t="s">
        <v>10</v>
      </c>
      <c r="F28" t="s">
        <v>17</v>
      </c>
      <c r="G28" s="3">
        <v>0.005</v>
      </c>
      <c r="I28" t="s">
        <v>18</v>
      </c>
      <c r="J28" s="2">
        <f>G28/($G$23*C28*0.000001)</f>
        <v>0.01061032953945969</v>
      </c>
      <c r="K28" s="7" t="s">
        <v>11</v>
      </c>
    </row>
    <row r="29" spans="2:11" ht="12.75">
      <c r="B29" t="s">
        <v>19</v>
      </c>
      <c r="C29" s="3">
        <v>149</v>
      </c>
      <c r="D29" t="s">
        <v>10</v>
      </c>
      <c r="F29" t="s">
        <v>20</v>
      </c>
      <c r="G29" s="3">
        <v>0.005</v>
      </c>
      <c r="I29" t="s">
        <v>21</v>
      </c>
      <c r="J29" s="2">
        <f>G29/($G$23*C29*0.000001)</f>
        <v>0.0053407699024125965</v>
      </c>
      <c r="K29" s="7" t="s">
        <v>11</v>
      </c>
    </row>
    <row r="30" spans="2:11" ht="12.75">
      <c r="B30" t="s">
        <v>22</v>
      </c>
      <c r="C30" s="4">
        <v>10000000000</v>
      </c>
      <c r="D30" t="s">
        <v>10</v>
      </c>
      <c r="F30" t="s">
        <v>23</v>
      </c>
      <c r="G30" s="3">
        <v>0.005</v>
      </c>
      <c r="I30" t="s">
        <v>24</v>
      </c>
      <c r="J30" s="2">
        <f>G30/($G$23*C30*0.000001)</f>
        <v>7.957747154594768E-11</v>
      </c>
      <c r="K30" s="7" t="s">
        <v>11</v>
      </c>
    </row>
    <row r="31" spans="2:11" ht="12.75">
      <c r="B31" t="s">
        <v>25</v>
      </c>
      <c r="C31" s="4">
        <v>10000000000</v>
      </c>
      <c r="D31" t="s">
        <v>10</v>
      </c>
      <c r="F31" t="s">
        <v>26</v>
      </c>
      <c r="G31" s="3">
        <v>0.005</v>
      </c>
      <c r="I31" t="s">
        <v>27</v>
      </c>
      <c r="J31" s="2">
        <f>G31/($G$23*C31*0.000001)</f>
        <v>7.957747154594768E-11</v>
      </c>
      <c r="K31" s="7" t="s">
        <v>11</v>
      </c>
    </row>
    <row r="33" spans="2:11" ht="12.75">
      <c r="B33" s="8" t="s">
        <v>28</v>
      </c>
      <c r="C33" s="9">
        <f>1/(1/C27+1/C28+1/C29+1/C30+1/C31)</f>
        <v>31.017499722960526</v>
      </c>
      <c r="D33" s="10" t="s">
        <v>10</v>
      </c>
      <c r="E33" s="10"/>
      <c r="F33" s="10" t="s">
        <v>29</v>
      </c>
      <c r="G33" s="11">
        <f>J33*G23*C33*0.000001</f>
        <v>0.005000000000000001</v>
      </c>
      <c r="H33" s="10"/>
      <c r="I33" s="10" t="s">
        <v>30</v>
      </c>
      <c r="J33" s="12">
        <f>SUM(J27:J31)</f>
        <v>0.02565566930175256</v>
      </c>
      <c r="K33" s="13" t="s">
        <v>11</v>
      </c>
    </row>
    <row r="36" ht="15">
      <c r="A36" s="1" t="s">
        <v>31</v>
      </c>
    </row>
    <row r="38" spans="2:14" ht="12.75">
      <c r="B38" t="s">
        <v>13</v>
      </c>
      <c r="C38" s="3">
        <v>25</v>
      </c>
      <c r="D38" t="s">
        <v>10</v>
      </c>
      <c r="F38" t="s">
        <v>14</v>
      </c>
      <c r="G38" s="3">
        <v>0.005</v>
      </c>
      <c r="I38" t="s">
        <v>32</v>
      </c>
      <c r="J38" s="2">
        <f>C38*(1/(1+G38^2))</f>
        <v>24.99937501562461</v>
      </c>
      <c r="L38" t="s">
        <v>33</v>
      </c>
      <c r="M38" s="14">
        <f>1/($G$23*J38*0.000001*G38)</f>
        <v>1273.2713757237811</v>
      </c>
      <c r="N38" s="7" t="s">
        <v>11</v>
      </c>
    </row>
    <row r="39" spans="2:14" ht="12.75">
      <c r="B39" t="s">
        <v>16</v>
      </c>
      <c r="C39" s="3">
        <v>5</v>
      </c>
      <c r="D39" t="s">
        <v>10</v>
      </c>
      <c r="F39" t="s">
        <v>17</v>
      </c>
      <c r="G39" s="3">
        <v>0.005</v>
      </c>
      <c r="I39" t="s">
        <v>34</v>
      </c>
      <c r="J39" s="2">
        <f>C39*(1/(1+G39^2))</f>
        <v>4.999875003124922</v>
      </c>
      <c r="L39" t="s">
        <v>35</v>
      </c>
      <c r="M39" s="14">
        <f>1/($G$23*J39*0.000001*G39)</f>
        <v>6366.356878618906</v>
      </c>
      <c r="N39" s="7" t="s">
        <v>11</v>
      </c>
    </row>
    <row r="40" spans="2:14" ht="12.75">
      <c r="B40" t="s">
        <v>19</v>
      </c>
      <c r="C40" s="3">
        <v>1</v>
      </c>
      <c r="D40" t="s">
        <v>10</v>
      </c>
      <c r="F40" t="s">
        <v>20</v>
      </c>
      <c r="G40" s="3">
        <v>0.005</v>
      </c>
      <c r="I40" t="s">
        <v>36</v>
      </c>
      <c r="J40" s="2">
        <f>C40*(1/(1+G40^2))</f>
        <v>0.9999750006249845</v>
      </c>
      <c r="L40" t="s">
        <v>37</v>
      </c>
      <c r="M40" s="14">
        <f>1/($G$23*J40*0.000001*G40)</f>
        <v>31831.784393094524</v>
      </c>
      <c r="N40" s="7" t="s">
        <v>11</v>
      </c>
    </row>
    <row r="41" spans="2:14" ht="12.75">
      <c r="B41" t="s">
        <v>22</v>
      </c>
      <c r="C41" s="4">
        <v>1E-10</v>
      </c>
      <c r="D41" t="s">
        <v>10</v>
      </c>
      <c r="F41" t="s">
        <v>23</v>
      </c>
      <c r="G41" s="3">
        <v>0.005</v>
      </c>
      <c r="I41" t="s">
        <v>38</v>
      </c>
      <c r="J41" s="2">
        <f>C41*(1/(1+G41^2))</f>
        <v>9.999750006249845E-11</v>
      </c>
      <c r="L41" t="s">
        <v>39</v>
      </c>
      <c r="M41" s="14">
        <f>1/($G$23*J41*0.000001*G41)</f>
        <v>318317843930945.25</v>
      </c>
      <c r="N41" s="7" t="s">
        <v>11</v>
      </c>
    </row>
    <row r="42" spans="2:14" ht="12.75">
      <c r="B42" t="s">
        <v>25</v>
      </c>
      <c r="C42" s="4">
        <v>1E-10</v>
      </c>
      <c r="D42" t="s">
        <v>10</v>
      </c>
      <c r="F42" t="s">
        <v>26</v>
      </c>
      <c r="G42" s="3">
        <v>0.005</v>
      </c>
      <c r="I42" t="s">
        <v>40</v>
      </c>
      <c r="J42" s="2">
        <f>C42*(1/(1+G42^2))</f>
        <v>9.999750006249845E-11</v>
      </c>
      <c r="L42" t="s">
        <v>41</v>
      </c>
      <c r="M42" s="14">
        <f>1/($G$23*J42*0.000001*G42)</f>
        <v>318317843930945.25</v>
      </c>
      <c r="N42" s="7" t="s">
        <v>11</v>
      </c>
    </row>
    <row r="44" spans="2:14" ht="12.75">
      <c r="B44" t="s">
        <v>42</v>
      </c>
      <c r="C44" s="6">
        <f>SUM(J38:J42)</f>
        <v>30.999225019574517</v>
      </c>
      <c r="D44" t="s">
        <v>10</v>
      </c>
      <c r="F44" t="s">
        <v>29</v>
      </c>
      <c r="G44" s="6">
        <f>1/($G$23*M44*C44*0.000001)</f>
        <v>0.004999999999999999</v>
      </c>
      <c r="L44" t="s">
        <v>43</v>
      </c>
      <c r="M44" s="14">
        <f>1/(1/M38+1/M39+1/M40+1/M41+1/M42)</f>
        <v>1026.8317546093278</v>
      </c>
      <c r="N44" s="7" t="s">
        <v>11</v>
      </c>
    </row>
    <row r="46" spans="2:11" ht="12.75">
      <c r="B46" s="8" t="s">
        <v>28</v>
      </c>
      <c r="C46" s="11">
        <f>C44*(1+G46^2)</f>
        <v>31.000000000200004</v>
      </c>
      <c r="D46" s="10" t="s">
        <v>10</v>
      </c>
      <c r="E46" s="10"/>
      <c r="F46" s="10" t="s">
        <v>29</v>
      </c>
      <c r="G46" s="11">
        <f>G44</f>
        <v>0.004999999999999999</v>
      </c>
      <c r="H46" s="10"/>
      <c r="I46" s="10" t="s">
        <v>30</v>
      </c>
      <c r="J46" s="12">
        <f>G46/($G$23*C46*0.000001)</f>
        <v>0.025670152111430408</v>
      </c>
      <c r="K46" s="13" t="s">
        <v>11</v>
      </c>
    </row>
    <row r="49" spans="2:16" ht="12.75">
      <c r="B49" s="15" t="s">
        <v>46</v>
      </c>
      <c r="C49" s="16"/>
      <c r="D49" s="16"/>
      <c r="E49" s="16"/>
      <c r="F49" s="16"/>
      <c r="G49" s="16"/>
      <c r="H49" s="16"/>
      <c r="I49" s="16"/>
      <c r="J49" s="16"/>
      <c r="K49" s="16"/>
      <c r="L49" s="16"/>
      <c r="M49" s="16"/>
      <c r="N49" s="16"/>
      <c r="O49" s="16"/>
      <c r="P49" s="17"/>
    </row>
    <row r="50" spans="2:16" ht="12.75">
      <c r="B50" s="18" t="s">
        <v>44</v>
      </c>
      <c r="C50" s="19">
        <v>6.3</v>
      </c>
      <c r="D50" s="19">
        <v>10</v>
      </c>
      <c r="E50" s="19">
        <v>16</v>
      </c>
      <c r="F50" s="19">
        <v>25</v>
      </c>
      <c r="G50" s="19">
        <v>35</v>
      </c>
      <c r="H50" s="19">
        <v>50</v>
      </c>
      <c r="I50" s="19">
        <v>63</v>
      </c>
      <c r="J50" s="19">
        <v>100</v>
      </c>
      <c r="K50" s="19">
        <v>160</v>
      </c>
      <c r="L50" s="19">
        <v>200</v>
      </c>
      <c r="M50" s="19">
        <v>250</v>
      </c>
      <c r="N50" s="19">
        <v>350</v>
      </c>
      <c r="O50" s="19">
        <v>400</v>
      </c>
      <c r="P50" s="20">
        <v>450</v>
      </c>
    </row>
    <row r="51" spans="2:16" ht="12.75">
      <c r="B51" s="21" t="s">
        <v>45</v>
      </c>
      <c r="C51" s="22">
        <v>0.26</v>
      </c>
      <c r="D51" s="22">
        <v>0.22</v>
      </c>
      <c r="E51" s="22">
        <v>0.18</v>
      </c>
      <c r="F51" s="22">
        <v>0.16</v>
      </c>
      <c r="G51" s="22">
        <v>0.14</v>
      </c>
      <c r="H51" s="22">
        <v>0.12</v>
      </c>
      <c r="I51" s="22">
        <v>0.1</v>
      </c>
      <c r="J51" s="22">
        <v>0.08</v>
      </c>
      <c r="K51" s="22">
        <v>0.2</v>
      </c>
      <c r="L51" s="22">
        <v>0.2</v>
      </c>
      <c r="M51" s="22">
        <v>0.2</v>
      </c>
      <c r="N51" s="22">
        <v>0.2</v>
      </c>
      <c r="O51" s="22">
        <v>0.2</v>
      </c>
      <c r="P51" s="23">
        <v>0.2</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17"/>
  <sheetViews>
    <sheetView zoomScalePageLayoutView="0" workbookViewId="0" topLeftCell="A1">
      <selection activeCell="A2" sqref="A2"/>
    </sheetView>
  </sheetViews>
  <sheetFormatPr defaultColWidth="9.140625" defaultRowHeight="12.75"/>
  <cols>
    <col min="2" max="2" width="11.140625" style="0" customWidth="1"/>
    <col min="4" max="4" width="9.00390625" style="0" bestFit="1" customWidth="1"/>
    <col min="9" max="9" width="5.00390625" style="0" customWidth="1"/>
  </cols>
  <sheetData>
    <row r="1" ht="15">
      <c r="A1" s="1" t="s">
        <v>85</v>
      </c>
    </row>
    <row r="3" spans="2:7" ht="12.75">
      <c r="B3" t="s">
        <v>6</v>
      </c>
      <c r="C3" s="3">
        <v>1000</v>
      </c>
      <c r="D3" t="s">
        <v>7</v>
      </c>
      <c r="E3" t="s">
        <v>47</v>
      </c>
      <c r="F3" s="6">
        <f>2*PI()*C3</f>
        <v>6283.185307179586</v>
      </c>
      <c r="G3" t="s">
        <v>48</v>
      </c>
    </row>
    <row r="5" spans="3:8" ht="12.75">
      <c r="C5" t="s">
        <v>9</v>
      </c>
      <c r="D5" t="s">
        <v>45</v>
      </c>
      <c r="F5" t="s">
        <v>49</v>
      </c>
      <c r="H5" t="s">
        <v>50</v>
      </c>
    </row>
    <row r="6" spans="2:8" ht="12.75">
      <c r="B6" t="s">
        <v>13</v>
      </c>
      <c r="C6" s="4">
        <v>0.017225</v>
      </c>
      <c r="D6" s="3">
        <v>1.998</v>
      </c>
      <c r="E6" s="24" t="s">
        <v>55</v>
      </c>
      <c r="F6" s="6">
        <f>C6*(1/(1+D6^2))</f>
        <v>0.0034505180684951376</v>
      </c>
      <c r="H6" s="6">
        <f>1/($F$3*F6*D6)</f>
        <v>0.023085556166747703</v>
      </c>
    </row>
    <row r="7" spans="2:8" ht="12.75">
      <c r="B7" t="s">
        <v>16</v>
      </c>
      <c r="C7" s="4">
        <v>2.971E-06</v>
      </c>
      <c r="D7" s="3">
        <v>0.00012</v>
      </c>
      <c r="E7" s="24" t="s">
        <v>55</v>
      </c>
      <c r="F7" s="6">
        <f>C7*(1/(1+D7^2))</f>
        <v>2.9709999572176004E-06</v>
      </c>
      <c r="H7" s="6">
        <f>1/($F$3*F7*D7)</f>
        <v>446412.390283088</v>
      </c>
    </row>
    <row r="8" spans="6:8" ht="12.75">
      <c r="F8" s="24" t="s">
        <v>56</v>
      </c>
      <c r="H8" s="24" t="s">
        <v>56</v>
      </c>
    </row>
    <row r="9" spans="2:8" ht="12.75">
      <c r="B9" t="s">
        <v>57</v>
      </c>
      <c r="F9" s="6">
        <f>F6+F7</f>
        <v>0.003453489068452355</v>
      </c>
      <c r="H9" s="6">
        <f>(H6*H7)/(H6+H7)</f>
        <v>0.02308555497291239</v>
      </c>
    </row>
    <row r="10" ht="12.75">
      <c r="H10" s="24" t="s">
        <v>56</v>
      </c>
    </row>
    <row r="11" spans="2:8" ht="12.75">
      <c r="B11" t="s">
        <v>51</v>
      </c>
      <c r="H11" s="6">
        <f>1/($F$3*F9*H9)</f>
        <v>1.9962812450606118</v>
      </c>
    </row>
    <row r="13" spans="2:4" ht="12.75">
      <c r="B13" t="s">
        <v>58</v>
      </c>
      <c r="C13" s="6">
        <f>F9*(1+H11^2)</f>
        <v>0.017216122382913996</v>
      </c>
      <c r="D13" s="6">
        <f>H11</f>
        <v>1.9962812450606118</v>
      </c>
    </row>
    <row r="15" spans="2:4" ht="12.75">
      <c r="B15" t="s">
        <v>52</v>
      </c>
      <c r="C15" s="6">
        <f>C13*1000000</f>
        <v>17216.122382913996</v>
      </c>
      <c r="D15" t="s">
        <v>53</v>
      </c>
    </row>
    <row r="17" spans="2:4" ht="12.75">
      <c r="B17" t="s">
        <v>54</v>
      </c>
      <c r="C17" s="6">
        <f>(C13-C6)*1000000</f>
        <v>-8.877617086004708</v>
      </c>
      <c r="D17" t="s">
        <v>53</v>
      </c>
    </row>
  </sheetData>
  <sheetProtection/>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34"/>
  <sheetViews>
    <sheetView zoomScalePageLayoutView="0" workbookViewId="0" topLeftCell="A13">
      <selection activeCell="A2" sqref="A2"/>
    </sheetView>
  </sheetViews>
  <sheetFormatPr defaultColWidth="9.140625" defaultRowHeight="12.75"/>
  <cols>
    <col min="6" max="6" width="9.00390625" style="0" bestFit="1" customWidth="1"/>
  </cols>
  <sheetData>
    <row r="1" ht="15">
      <c r="A1" s="1" t="s">
        <v>62</v>
      </c>
    </row>
    <row r="2" ht="12.75">
      <c r="A2" t="s">
        <v>61</v>
      </c>
    </row>
    <row r="5" ht="12.75">
      <c r="K5" s="6"/>
    </row>
    <row r="16" spans="1:7" ht="12.75">
      <c r="A16" t="s">
        <v>2</v>
      </c>
      <c r="E16" s="3">
        <v>20</v>
      </c>
      <c r="F16" s="3">
        <v>1000</v>
      </c>
      <c r="G16" s="3">
        <v>20000</v>
      </c>
    </row>
    <row r="18" spans="1:7" ht="12.75">
      <c r="A18" t="s">
        <v>59</v>
      </c>
      <c r="E18" s="4">
        <v>5.118E-06</v>
      </c>
      <c r="F18" s="4">
        <v>5.113E-06</v>
      </c>
      <c r="G18" s="4">
        <v>5.134E-06</v>
      </c>
    </row>
    <row r="19" spans="1:7" ht="12.75">
      <c r="A19" t="s">
        <v>0</v>
      </c>
      <c r="E19" s="3">
        <v>0.00025</v>
      </c>
      <c r="F19" s="3">
        <v>0.00081</v>
      </c>
      <c r="G19" s="3">
        <v>0.0087</v>
      </c>
    </row>
    <row r="20" spans="1:7" ht="12.75">
      <c r="A20" t="s">
        <v>5</v>
      </c>
      <c r="E20" s="2">
        <f>E19/(2*PI()*E$16*E18)</f>
        <v>0.38871371407750915</v>
      </c>
      <c r="F20" s="2">
        <f>F19/(2*PI()*F$16*F18)</f>
        <v>0.025213280638457895</v>
      </c>
      <c r="G20" s="2">
        <f>G19/(2*PI()*G$16*G18)</f>
        <v>0.013485079907474575</v>
      </c>
    </row>
    <row r="23" spans="1:7" ht="12.75">
      <c r="A23" t="s">
        <v>60</v>
      </c>
      <c r="E23" s="4">
        <v>1.0089E-07</v>
      </c>
      <c r="F23" s="4">
        <v>1.0087E-07</v>
      </c>
      <c r="G23" s="4">
        <v>1.00873E-07</v>
      </c>
    </row>
    <row r="24" spans="1:7" ht="12.75">
      <c r="A24" t="s">
        <v>0</v>
      </c>
      <c r="E24" s="3">
        <v>-0.00013</v>
      </c>
      <c r="F24" s="3">
        <v>3.5E-05</v>
      </c>
      <c r="G24" s="3">
        <v>0.00019</v>
      </c>
    </row>
    <row r="25" spans="1:7" ht="12.75">
      <c r="A25" t="s">
        <v>5</v>
      </c>
      <c r="E25" s="2">
        <f>E24/(2*PI()*E$16*E23)</f>
        <v>-10.253812370872431</v>
      </c>
      <c r="F25" s="2">
        <f>F24/(2*PI()*F$16*F23)</f>
        <v>0.05522378316859657</v>
      </c>
      <c r="G25" s="2">
        <f>G24/(2*PI()*G$16*G23)</f>
        <v>0.014988866786682322</v>
      </c>
    </row>
    <row r="28" spans="1:7" ht="12.75">
      <c r="A28" t="s">
        <v>1</v>
      </c>
      <c r="E28" s="4">
        <v>5.219E-06</v>
      </c>
      <c r="F28" s="4">
        <v>5.214E-06</v>
      </c>
      <c r="G28" s="4">
        <v>5.233E-06</v>
      </c>
    </row>
    <row r="29" spans="1:7" ht="12.75">
      <c r="A29" t="s">
        <v>0</v>
      </c>
      <c r="E29" s="3">
        <v>0.000245</v>
      </c>
      <c r="F29" s="3">
        <v>0.00078</v>
      </c>
      <c r="G29" s="3">
        <v>0.00833</v>
      </c>
    </row>
    <row r="30" spans="1:7" ht="12.75">
      <c r="A30" t="s">
        <v>5</v>
      </c>
      <c r="E30" s="2">
        <f>E29/(2*PI()*E$16*E28)</f>
        <v>0.3735673601984514</v>
      </c>
      <c r="F30" s="2">
        <f>F29/(2*PI()*F$16*F28)</f>
        <v>0.023809139933194928</v>
      </c>
      <c r="G30" s="2">
        <f>G29/(2*PI()*G$16*G28)</f>
        <v>0.012667310108498838</v>
      </c>
    </row>
    <row r="32" spans="1:7" ht="12.75">
      <c r="A32" t="s">
        <v>3</v>
      </c>
      <c r="E32" s="5">
        <f>(E20-E30)/E20</f>
        <v>0.038965319026633576</v>
      </c>
      <c r="F32" s="5">
        <f>(F20-F30)/F20</f>
        <v>0.05569051982554097</v>
      </c>
      <c r="G32" s="5">
        <f>(G20-G30)/G20</f>
        <v>0.06064256234198954</v>
      </c>
    </row>
    <row r="34" spans="1:7" ht="12.75">
      <c r="A34" t="s">
        <v>4</v>
      </c>
      <c r="E34" s="5">
        <f>(E19-E29)/E19</f>
        <v>0.020000000000000052</v>
      </c>
      <c r="F34" s="5">
        <f>(F19-F29)/F19</f>
        <v>0.037037037037037</v>
      </c>
      <c r="G34" s="5">
        <f>(G19-G29)/G19</f>
        <v>0.042528735632183776</v>
      </c>
    </row>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I28" sqref="I28"/>
    </sheetView>
  </sheetViews>
  <sheetFormatPr defaultColWidth="9.140625" defaultRowHeight="12.75"/>
  <cols>
    <col min="5" max="5" width="11.7109375" style="0" customWidth="1"/>
  </cols>
  <sheetData>
    <row r="1" ht="13.5">
      <c r="A1" s="25" t="s">
        <v>84</v>
      </c>
    </row>
    <row r="2" ht="13.5">
      <c r="A2" s="25"/>
    </row>
    <row r="3" ht="13.5">
      <c r="A3" s="25"/>
    </row>
    <row r="4" ht="13.5">
      <c r="A4" s="25"/>
    </row>
    <row r="5" ht="13.5">
      <c r="A5" s="25"/>
    </row>
    <row r="6" ht="13.5">
      <c r="A6" s="25"/>
    </row>
    <row r="7" ht="13.5">
      <c r="A7" s="25"/>
    </row>
    <row r="8" ht="13.5">
      <c r="A8" s="25"/>
    </row>
    <row r="9" ht="13.5">
      <c r="A9" s="25"/>
    </row>
    <row r="11" spans="2:6" ht="12.75">
      <c r="B11" t="s">
        <v>73</v>
      </c>
      <c r="E11" s="34">
        <v>1000</v>
      </c>
      <c r="F11" t="s">
        <v>7</v>
      </c>
    </row>
    <row r="12" spans="2:11" ht="12.75">
      <c r="B12" t="s">
        <v>74</v>
      </c>
      <c r="E12" s="31">
        <v>1E-07</v>
      </c>
      <c r="F12" t="s">
        <v>64</v>
      </c>
      <c r="H12" s="38">
        <f>E12*1000000</f>
        <v>0.09999999999999999</v>
      </c>
      <c r="I12" t="s">
        <v>53</v>
      </c>
      <c r="K12" s="26"/>
    </row>
    <row r="13" spans="2:11" ht="12.75">
      <c r="B13" t="s">
        <v>75</v>
      </c>
      <c r="E13" s="34">
        <v>0.003</v>
      </c>
      <c r="H13" s="28"/>
      <c r="K13" s="29"/>
    </row>
    <row r="14" spans="2:11" ht="12.75">
      <c r="B14" t="s">
        <v>76</v>
      </c>
      <c r="E14" s="32">
        <f>1/(2*PI()*E11*E12)</f>
        <v>1591.5494309189537</v>
      </c>
      <c r="F14" t="s">
        <v>65</v>
      </c>
      <c r="H14" s="28"/>
      <c r="K14" s="29"/>
    </row>
    <row r="15" spans="2:11" ht="12.75">
      <c r="B15" t="s">
        <v>66</v>
      </c>
      <c r="E15" s="32">
        <f>E13*E14</f>
        <v>4.774648292756861</v>
      </c>
      <c r="F15" t="s">
        <v>65</v>
      </c>
      <c r="H15" s="28"/>
      <c r="K15" s="29"/>
    </row>
    <row r="16" spans="2:11" ht="12.75">
      <c r="B16" t="s">
        <v>67</v>
      </c>
      <c r="E16" s="35">
        <f>E15^2*E12</f>
        <v>2.2797266319526013E-06</v>
      </c>
      <c r="F16" t="s">
        <v>68</v>
      </c>
      <c r="H16" s="27">
        <f>E16*1000000</f>
        <v>2.2797266319526015</v>
      </c>
      <c r="I16" t="s">
        <v>69</v>
      </c>
      <c r="K16" s="29"/>
    </row>
    <row r="17" spans="3:11" ht="12.75">
      <c r="C17" s="36" t="s">
        <v>81</v>
      </c>
      <c r="E17" s="35"/>
      <c r="H17" s="27"/>
      <c r="K17" s="29"/>
    </row>
    <row r="18" spans="3:11" ht="12.75">
      <c r="C18" s="36" t="s">
        <v>82</v>
      </c>
      <c r="E18" s="35"/>
      <c r="H18" s="27"/>
      <c r="K18" s="29"/>
    </row>
    <row r="19" spans="3:11" ht="12.75">
      <c r="C19" s="36" t="s">
        <v>83</v>
      </c>
      <c r="E19" s="35"/>
      <c r="H19" s="27"/>
      <c r="K19" s="29"/>
    </row>
    <row r="20" spans="5:11" ht="12.75">
      <c r="E20" s="31"/>
      <c r="H20" s="27"/>
      <c r="K20" s="29"/>
    </row>
    <row r="21" spans="2:11" ht="12.75">
      <c r="B21" t="s">
        <v>70</v>
      </c>
      <c r="E21" s="34">
        <v>100</v>
      </c>
      <c r="F21" t="s">
        <v>65</v>
      </c>
      <c r="H21" s="28"/>
      <c r="K21" s="29"/>
    </row>
    <row r="22" spans="2:11" ht="12.75">
      <c r="B22" t="s">
        <v>71</v>
      </c>
      <c r="E22" s="35">
        <f>E21^2*E12</f>
        <v>0.001</v>
      </c>
      <c r="F22" t="s">
        <v>68</v>
      </c>
      <c r="H22" s="27">
        <f>E22*1000000</f>
        <v>1000</v>
      </c>
      <c r="I22" t="s">
        <v>69</v>
      </c>
      <c r="K22" s="29"/>
    </row>
    <row r="23" spans="3:11" ht="12.75">
      <c r="C23" s="36" t="s">
        <v>80</v>
      </c>
      <c r="E23" s="35"/>
      <c r="H23" s="27"/>
      <c r="K23" s="29"/>
    </row>
    <row r="24" spans="2:11" ht="12.75">
      <c r="B24" t="s">
        <v>72</v>
      </c>
      <c r="E24" s="32">
        <f>E21-E15</f>
        <v>95.22535170724314</v>
      </c>
      <c r="F24" t="s">
        <v>65</v>
      </c>
      <c r="H24" s="29"/>
      <c r="K24" s="29"/>
    </row>
    <row r="27" spans="1:2" ht="12.75">
      <c r="A27" s="33"/>
      <c r="B27" s="37" t="s">
        <v>79</v>
      </c>
    </row>
    <row r="28" spans="2:6" ht="12.75">
      <c r="B28" t="s">
        <v>77</v>
      </c>
      <c r="E28" s="26">
        <f>SQRT(E16/E12)</f>
        <v>4.774648292756861</v>
      </c>
      <c r="F28" t="s">
        <v>65</v>
      </c>
    </row>
    <row r="29" spans="2:6" ht="12.75">
      <c r="B29" t="s">
        <v>78</v>
      </c>
      <c r="E29" s="26">
        <f>SQRT(E22/E12)</f>
        <v>100</v>
      </c>
      <c r="F29" t="s">
        <v>65</v>
      </c>
    </row>
    <row r="30" ht="12.75">
      <c r="E30" s="30"/>
    </row>
    <row r="31" ht="12.75">
      <c r="E31" s="39"/>
    </row>
    <row r="32" ht="12.75">
      <c r="E32" s="30"/>
    </row>
    <row r="33" ht="12.75">
      <c r="E33" s="30"/>
    </row>
    <row r="34" ht="12.75">
      <c r="E34" s="30"/>
    </row>
    <row r="35" ht="12.75">
      <c r="E35" s="30"/>
    </row>
  </sheetData>
  <printOptions/>
  <pageMargins left="0.75" right="0.75" top="1" bottom="1" header="0.5" footer="0.5"/>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Conrad R. Hoffman</dc:creator>
  <cp:keywords/>
  <dc:description/>
  <cp:lastModifiedBy>Conrad R. Hoffman</cp:lastModifiedBy>
  <dcterms:created xsi:type="dcterms:W3CDTF">2015-06-20T20:52:09Z</dcterms:created>
  <dcterms:modified xsi:type="dcterms:W3CDTF">2015-06-30T03:59:19Z</dcterms:modified>
  <cp:category/>
  <cp:version/>
  <cp:contentType/>
  <cp:contentStatus/>
</cp:coreProperties>
</file>